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Y6tvTSrUg0efG/r7UP1mMx9pex7HiKhLdmojXw+r1+JdPf8gORBe9Ag9mifTc3rJMNbUeqkS1q0JGOq10oDN+A==" workbookSaltValue="igciTFPymbpJNIfSi/Ct5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E12" i="8" s="1"/>
  <c r="BA12" i="8"/>
  <c r="AZ12" i="8"/>
  <c r="BG12" i="8" s="1"/>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M19" i="8"/>
  <c r="AP13" i="17"/>
  <c r="BD17" i="8"/>
  <c r="BF17" i="8"/>
  <c r="AB19" i="19"/>
  <c r="ER19" i="8"/>
  <c r="EL19" i="8"/>
  <c r="AC11" i="11"/>
  <c r="EQ19" i="8"/>
  <c r="AP12" i="11"/>
  <c r="Y11" i="11"/>
  <c r="AT18" i="17"/>
  <c r="N10" i="11"/>
  <c r="N9" i="11"/>
  <c r="T10" i="21"/>
  <c r="F10" i="10"/>
  <c r="D11" i="2"/>
  <c r="N11" i="11"/>
  <c r="ES19" i="8"/>
  <c r="C18" i="7"/>
  <c r="S19" i="13"/>
  <c r="AG19" i="19"/>
  <c r="F9" i="11"/>
  <c r="CI19" i="8"/>
  <c r="AE19" i="8"/>
  <c r="EP19" i="8"/>
  <c r="ER19" i="13"/>
  <c r="AL13" i="16"/>
  <c r="S13" i="16"/>
  <c r="H18" i="16"/>
  <c r="P13" i="16"/>
  <c r="AN13" i="20"/>
  <c r="Z13" i="17"/>
  <c r="F9" i="2"/>
  <c r="AC10" i="11"/>
  <c r="T19" i="8"/>
  <c r="AJ19" i="8"/>
  <c r="T13" i="12"/>
  <c r="AY18" i="8"/>
  <c r="BF15" i="8"/>
  <c r="BD12" i="8"/>
  <c r="H12" i="7" s="1"/>
  <c r="BD9" i="8"/>
  <c r="BA13" i="8"/>
  <c r="AV18" i="17"/>
  <c r="J18" i="17"/>
  <c r="T13" i="16"/>
  <c r="AP13" i="16"/>
  <c r="F11" i="11"/>
  <c r="AQ11" i="11" s="1"/>
  <c r="T18" i="17"/>
  <c r="BG15"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Y19" i="8" l="1"/>
  <c r="F17" i="17"/>
  <c r="AQ17" i="17" s="1"/>
  <c r="BG16" i="8"/>
  <c r="AW18" i="21"/>
  <c r="AB19" i="8"/>
  <c r="H13" i="12"/>
  <c r="AL11" i="11"/>
  <c r="B9" i="6"/>
  <c r="K9" i="7"/>
  <c r="H15" i="7"/>
  <c r="H12" i="2"/>
  <c r="C10" i="6"/>
  <c r="L11" i="14"/>
  <c r="E18" i="2"/>
  <c r="F18" i="2" s="1"/>
  <c r="AO17" i="11"/>
  <c r="AL15" i="11"/>
  <c r="L16" i="14"/>
  <c r="M18" i="2"/>
  <c r="N13" i="2"/>
  <c r="N18" i="2"/>
  <c r="AO9" i="11"/>
  <c r="C11" i="6"/>
  <c r="I11" i="12" s="1"/>
  <c r="AO16" i="11"/>
  <c r="AL10" i="11"/>
  <c r="BA18" i="13"/>
  <c r="BF18" i="13" s="1"/>
  <c r="BF15" i="13"/>
  <c r="BG15" i="8"/>
  <c r="K15" i="7" s="1"/>
  <c r="B12" i="6"/>
  <c r="L12" i="14"/>
  <c r="B17" i="6"/>
  <c r="C17" i="6"/>
  <c r="BF9" i="13"/>
  <c r="BE12" i="13"/>
  <c r="F16" i="17"/>
  <c r="AQ16" i="17" s="1"/>
  <c r="BG16" i="13"/>
  <c r="BD16" i="13"/>
  <c r="BE16" i="13"/>
  <c r="H15" i="2"/>
  <c r="E15" i="6"/>
  <c r="K15" i="12" s="1"/>
  <c r="B16" i="6"/>
  <c r="D12" i="12"/>
  <c r="F12" i="11"/>
  <c r="AQ12" i="11" s="1"/>
  <c r="E9" i="6"/>
  <c r="K9" i="12" s="1"/>
  <c r="AY13" i="8"/>
  <c r="AO12" i="11"/>
  <c r="I11" i="7"/>
  <c r="AY13" i="13"/>
  <c r="BE9" i="13"/>
  <c r="BB13" i="13"/>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S17" i="14"/>
  <c r="V17" i="14" s="1"/>
  <c r="V18" i="14" s="1"/>
  <c r="T12" i="11"/>
  <c r="X10" i="17"/>
  <c r="V10" i="16"/>
  <c r="X10" i="21"/>
  <c r="AU18" i="21"/>
  <c r="L19" i="21"/>
  <c r="BD18" i="19"/>
  <c r="AC19" i="13"/>
  <c r="BA13" i="13"/>
  <c r="BD13" i="13" s="1"/>
  <c r="BE11" i="13"/>
  <c r="BG10" i="13"/>
  <c r="BE17" i="13"/>
  <c r="F17" i="11"/>
  <c r="AQ17" i="11" s="1"/>
  <c r="AQ15" i="11"/>
  <c r="K12" i="7"/>
  <c r="E12" i="6"/>
  <c r="K12" i="12" s="1"/>
  <c r="C12" i="6"/>
  <c r="AL12" i="11"/>
  <c r="C18" i="2"/>
  <c r="D18" i="2" s="1"/>
  <c r="G18" i="12"/>
  <c r="E16" i="6"/>
  <c r="C15" i="6"/>
  <c r="B15" i="6"/>
  <c r="G15" i="3"/>
  <c r="I12" i="3"/>
  <c r="E12" i="3"/>
  <c r="E10" i="3"/>
  <c r="AM11" i="11"/>
  <c r="L9" i="14"/>
  <c r="AO11" i="11"/>
  <c r="AL17" i="11"/>
  <c r="F15" i="2"/>
  <c r="AL16" i="11"/>
  <c r="L15" i="14"/>
  <c r="AR13" i="21"/>
  <c r="E13" i="17"/>
  <c r="W13" i="17"/>
  <c r="I9" i="7"/>
  <c r="H9" i="7"/>
  <c r="I18" i="2"/>
  <c r="J18" i="2" s="1"/>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D18" i="14"/>
  <c r="G18" i="1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H18" i="11"/>
  <c r="X13" i="11"/>
  <c r="AA18" i="11"/>
  <c r="M18" i="11"/>
  <c r="C16" i="14"/>
  <c r="K16" i="14" s="1"/>
  <c r="J16" i="7"/>
  <c r="F18" i="3"/>
  <c r="G18" i="3" s="1"/>
  <c r="H13" i="3"/>
  <c r="AJ18" i="11"/>
  <c r="D18" i="5"/>
  <c r="D19" i="5" s="1"/>
  <c r="F16" i="2"/>
  <c r="H16" i="2"/>
  <c r="J16" i="2"/>
  <c r="F13" i="3"/>
  <c r="E9" i="3"/>
  <c r="G9" i="3"/>
  <c r="W18" i="17"/>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AS16" i="20" s="1"/>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AY21" i="21"/>
  <c r="AG18" i="11"/>
  <c r="AK18" i="11"/>
  <c r="E13" i="14"/>
  <c r="O19" i="16"/>
  <c r="AQ19" i="20"/>
  <c r="D11" i="6"/>
  <c r="J11" i="12" s="1"/>
  <c r="E11" i="3"/>
  <c r="AM17" i="11"/>
  <c r="P19" i="8"/>
  <c r="AQ18" i="21"/>
  <c r="BJ9" i="11"/>
  <c r="BA19" i="19"/>
  <c r="BG19" i="19" s="1"/>
  <c r="BD13" i="19"/>
  <c r="BF13" i="19"/>
  <c r="AD19" i="8"/>
  <c r="V19" i="8"/>
  <c r="U16" i="21"/>
  <c r="U18" i="21" s="1"/>
  <c r="X17" i="16"/>
  <c r="D13" i="3"/>
  <c r="N19" i="8"/>
  <c r="BH12" i="11"/>
  <c r="AP12" i="21"/>
  <c r="BM10"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W19" i="21"/>
  <c r="R13" i="16"/>
  <c r="AR13" i="17"/>
  <c r="U12" i="21"/>
  <c r="F12" i="17"/>
  <c r="AQ12" i="17" s="1"/>
  <c r="AI13" i="16"/>
  <c r="AI19" i="16" s="1"/>
  <c r="I18" i="17"/>
  <c r="L18" i="16"/>
  <c r="AZ18" i="20"/>
  <c r="AZ19" i="20" s="1"/>
  <c r="Y13" i="16"/>
  <c r="O18" i="11"/>
  <c r="AS20" i="20"/>
  <c r="H13" i="14"/>
  <c r="AD13" i="14"/>
  <c r="Z13" i="14"/>
  <c r="M13" i="14"/>
  <c r="Y13" i="14"/>
  <c r="AA13" i="14"/>
  <c r="W13" i="14"/>
  <c r="P13" i="14"/>
  <c r="Q13" i="14"/>
  <c r="X13" i="14"/>
  <c r="AC13" i="14"/>
  <c r="AB13" i="14"/>
  <c r="V16" i="11"/>
  <c r="U18" i="11"/>
  <c r="AA18" i="14"/>
  <c r="W18" i="14"/>
  <c r="H18" i="14"/>
  <c r="Z18" i="14"/>
  <c r="X18" i="14"/>
  <c r="AD18" i="14"/>
  <c r="Q18" i="14"/>
  <c r="P18" i="14"/>
  <c r="Y18" i="14"/>
  <c r="AC18" i="14"/>
  <c r="AB18" i="14"/>
  <c r="M18" i="14"/>
  <c r="U21" i="11"/>
  <c r="U13" i="11"/>
  <c r="V13" i="11" s="1"/>
  <c r="U19" i="11"/>
  <c r="V10" i="11"/>
  <c r="O17" i="11"/>
  <c r="AW20" i="11"/>
  <c r="AV20" i="21"/>
  <c r="H20" i="17"/>
  <c r="AX20" i="21"/>
  <c r="U17" i="11"/>
  <c r="O10" i="11"/>
  <c r="BR20" i="16"/>
  <c r="AU20" i="17"/>
  <c r="BP20" i="16"/>
  <c r="I17" i="12" l="1"/>
  <c r="F18" i="17"/>
  <c r="AL18" i="11"/>
  <c r="K16" i="12"/>
  <c r="H21" i="12"/>
  <c r="B19" i="7"/>
  <c r="D19" i="12"/>
  <c r="G19" i="7"/>
  <c r="F19" i="7"/>
  <c r="I10" i="12"/>
  <c r="G21" i="11"/>
  <c r="N19" i="2"/>
  <c r="BE13" i="13"/>
  <c r="BG13" i="13"/>
  <c r="V12" i="11"/>
  <c r="V19" i="11"/>
  <c r="S18" i="14"/>
  <c r="U16" i="17"/>
  <c r="U17" i="17"/>
  <c r="U11" i="17"/>
  <c r="AA12" i="16"/>
  <c r="BF9" i="11"/>
  <c r="BM11" i="11"/>
  <c r="S12" i="17"/>
  <c r="AA10" i="21"/>
  <c r="V16" i="20"/>
  <c r="BG11" i="11"/>
  <c r="AO11" i="17"/>
  <c r="BG17" i="11"/>
  <c r="R15" i="14"/>
  <c r="BE18" i="13"/>
  <c r="BD18" i="13"/>
  <c r="X18" i="17"/>
  <c r="T18" i="11"/>
  <c r="AP18" i="21"/>
  <c r="AP18" i="20"/>
  <c r="F18" i="11"/>
  <c r="Y13" i="11"/>
  <c r="AO17" i="17"/>
  <c r="AM15" i="11"/>
  <c r="S16" i="17"/>
  <c r="AZ11" i="11"/>
  <c r="AA11" i="16"/>
  <c r="T17" i="11"/>
  <c r="R17" i="14"/>
  <c r="R18" i="14" s="1"/>
  <c r="X15" i="16"/>
  <c r="X18" i="16" s="1"/>
  <c r="L11" i="2"/>
  <c r="V17" i="16"/>
  <c r="X17" i="20"/>
  <c r="AA10" i="16"/>
  <c r="L15" i="2"/>
  <c r="AQ12" i="21"/>
  <c r="Q15" i="17"/>
  <c r="BF12" i="11"/>
  <c r="Q12" i="11" s="1"/>
  <c r="T15" i="11"/>
  <c r="BV9" i="16"/>
  <c r="BU9" i="17"/>
  <c r="BV16" i="16"/>
  <c r="T15" i="16"/>
  <c r="BL11" i="11"/>
  <c r="BJ11" i="11"/>
  <c r="BI10" i="11"/>
  <c r="X11" i="17"/>
  <c r="BF17" i="11"/>
  <c r="BH15" i="11"/>
  <c r="AP16" i="20"/>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<sst xmlns="http://schemas.openxmlformats.org/spreadsheetml/2006/main" count="2102" uniqueCount="918">
  <si>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</si>
  <si>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</si>
  <si>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</si>
  <si>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</si>
  <si>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</si>
  <si>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</si>
  <si>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</si>
  <si>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</si>
  <si>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</si>
  <si>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</si>
  <si>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</si>
  <si>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</si>
  <si>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</si>
  <si>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</si>
  <si>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</si>
  <si>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</si>
  <si>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</si>
  <si>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</si>
  <si>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</si>
  <si>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</si>
  <si>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</si>
  <si>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</si>
  <si>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</si>
  <si>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</si>
  <si>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</si>
  <si>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</si>
  <si>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</si>
  <si>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</si>
  <si>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</si>
  <si>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</si>
  <si>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</si>
  <si>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</si>
  <si>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</si>
  <si>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</si>
  <si>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</si>
  <si>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</si>
  <si>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</si>
  <si>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</si>
  <si>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</si>
  <si>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</si>
  <si>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</si>
  <si>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</si>
  <si>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</si>
  <si>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</si>
  <si>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</si>
  <si>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</si>
  <si>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</si>
  <si>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</si>
  <si>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</si>
  <si>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</si>
  <si>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</si>
  <si>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</si>
  <si>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</si>
  <si>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</si>
  <si>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</si>
  <si>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</si>
  <si>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</si>
  <si>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</si>
  <si>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</si>
  <si>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</si>
  <si>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</si>
  <si>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</si>
  <si>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</si>
  <si>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</si>
  <si>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</si>
  <si>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</si>
  <si>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</si>
  <si>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</si>
  <si>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</si>
  <si>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</si>
  <si>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</si>
  <si>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</si>
  <si>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</si>
  <si>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</si>
  <si>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</si>
  <si>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</si>
  <si>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</si>
  <si>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</si>
  <si>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</si>
  <si>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</si>
  <si>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</si>
  <si>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</si>
  <si>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</si>
  <si>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</si>
  <si>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</si>
  <si>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</si>
  <si>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</si>
  <si>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</si>
  <si>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</si>
  <si>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</si>
  <si>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</si>
  <si>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</si>
  <si>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</si>
  <si>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</si>
  <si>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</si>
  <si>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</si>
  <si>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</si>
  <si>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</si>
  <si>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</si>
  <si>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</si>
  <si>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</si>
  <si>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</si>
  <si>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</si>
  <si>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</si>
  <si>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</si>
  <si>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</si>
  <si>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</si>
  <si>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</si>
  <si>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</si>
  <si>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</si>
  <si>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</si>
  <si>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</si>
  <si>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</si>
  <si>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</si>
  <si>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</si>
  <si>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</si>
  <si>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</si>
  <si>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</si>
  <si>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</si>
  <si>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</si>
  <si>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</si>
  <si>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</si>
  <si>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</si>
  <si>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</si>
  <si>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</si>
  <si>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</si>
  <si>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</si>
  <si>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</si>
  <si>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</si>
  <si>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</si>
  <si>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</si>
  <si>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</si>
  <si>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</si>
  <si>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</si>
  <si>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</si>
  <si>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</si>
  <si>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</si>
  <si>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</si>
  <si>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</si>
  <si>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</si>
  <si>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</si>
  <si>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</si>
  <si>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</si>
  <si>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</si>
  <si>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</si>
  <si>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</si>
  <si>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</si>
  <si>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</si>
  <si>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</si>
  <si>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</si>
  <si>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</si>
  <si>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</si>
  <si>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</si>
  <si>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</si>
  <si>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</si>
  <si>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</si>
  <si>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</si>
  <si>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</si>
  <si>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</si>
  <si>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</si>
  <si>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</si>
  <si>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</si>
  <si>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</si>
  <si>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</si>
  <si>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</si>
  <si>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</si>
  <si>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</si>
  <si>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</si>
  <si>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</si>
  <si>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</si>
  <si>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</si>
  <si>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</si>
  <si>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</si>
  <si>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</si>
  <si>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</si>
  <si>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</si>
  <si>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</si>
  <si>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</si>
  <si>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</si>
  <si>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</si>
  <si>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</si>
  <si>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</si>
  <si>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</si>
  <si>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</si>
  <si>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</si>
  <si>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</si>
  <si>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</si>
  <si>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</si>
  <si>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</si>
  <si>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</si>
  <si>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</si>
  <si>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</si>
  <si>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</si>
  <si>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</si>
  <si>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</si>
  <si>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</si>
  <si>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</si>
  <si>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</si>
  <si>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</si>
  <si>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</si>
  <si>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</si>
  <si>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</si>
  <si>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</si>
  <si>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</si>
  <si>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</si>
  <si>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</si>
  <si>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</si>
  <si>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</si>
  <si>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</si>
  <si>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</si>
  <si>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</si>
  <si>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</si>
  <si>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</si>
  <si>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</si>
  <si>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</si>
  <si>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</si>
  <si>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</si>
  <si>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</si>
  <si>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</si>
  <si>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</si>
  <si>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</si>
  <si>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</si>
  <si>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</si>
  <si>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</si>
  <si>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</si>
  <si>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</si>
  <si>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</si>
  <si>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</si>
  <si>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</si>
  <si>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</si>
  <si>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</si>
  <si>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</si>
  <si>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</si>
  <si>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</si>
  <si>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</si>
  <si>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</si>
  <si>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</si>
  <si>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</si>
  <si>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</si>
  <si>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</si>
  <si>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</si>
  <si>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</si>
  <si>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</si>
  <si>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</si>
  <si>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</si>
  <si>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</si>
  <si>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</si>
  <si>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</si>
  <si>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</si>
  <si>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</si>
  <si>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</si>
  <si>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</si>
  <si>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</si>
  <si>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</si>
  <si>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</si>
  <si>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</si>
  <si>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</si>
  <si>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</si>
  <si>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</si>
  <si>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</si>
  <si>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</si>
  <si>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</si>
  <si>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</si>
  <si>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</si>
  <si>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</si>
  <si>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</si>
  <si>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</si>
  <si>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</si>
  <si>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</si>
  <si>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</si>
  <si>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</si>
  <si>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</si>
  <si>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</si>
  <si>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</si>
  <si>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</si>
  <si>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</si>
  <si>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</si>
  <si>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</si>
  <si>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</si>
  <si>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</si>
  <si>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</si>
  <si>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</si>
  <si>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</si>
  <si>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</si>
  <si>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</si>
  <si>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</si>
  <si>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</si>
  <si>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</si>
  <si>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</si>
  <si>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</si>
  <si>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</si>
  <si>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</si>
  <si>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</si>
  <si>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</si>
  <si>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</si>
  <si>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</si>
  <si>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</si>
  <si>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</si>
  <si>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</si>
  <si>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</si>
  <si>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</si>
  <si>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</si>
  <si>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</si>
  <si>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</si>
  <si>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</si>
  <si>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</si>
  <si>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</si>
  <si>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</si>
  <si>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</si>
  <si>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</si>
  <si>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</si>
  <si>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</si>
  <si>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</si>
  <si>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</si>
  <si>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</si>
  <si>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</si>
  <si>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</si>
  <si>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</si>
  <si>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</si>
  <si>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</si>
  <si>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</si>
  <si>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</si>
  <si>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</si>
  <si>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</si>
  <si>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</si>
  <si>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</si>
  <si>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</si>
  <si>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</si>
  <si>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</si>
  <si>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</si>
  <si>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</si>
  <si>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</si>
  <si>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</si>
  <si>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</si>
  <si>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</si>
  <si>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</si>
  <si>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</si>
  <si>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</si>
  <si>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</si>
  <si>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</si>
  <si>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</si>
  <si>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</si>
  <si>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</si>
  <si>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</si>
  <si>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</si>
  <si>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</si>
  <si>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</si>
  <si>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</si>
  <si>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</si>
  <si>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</si>
  <si>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</si>
  <si>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</si>
  <si>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</si>
  <si>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</si>
  <si>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</si>
  <si>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</si>
  <si>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</si>
  <si>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</si>
  <si>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</si>
  <si>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</si>
  <si>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</si>
  <si>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</si>
  <si>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</si>
  <si>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</si>
  <si>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</si>
  <si>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</si>
  <si>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</si>
  <si>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</si>
  <si>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</si>
  <si>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</si>
  <si>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</si>
  <si>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</si>
  <si>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</si>
  <si>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</si>
  <si>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</si>
  <si>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</si>
  <si>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</si>
  <si>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</si>
  <si>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</si>
  <si>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</si>
  <si>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</si>
  <si>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</si>
  <si>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</si>
  <si>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</si>
  <si>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</si>
  <si>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</si>
  <si>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</si>
  <si>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</si>
  <si>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</si>
  <si>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</si>
  <si>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</si>
  <si>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</si>
  <si>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</si>
  <si>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</si>
  <si>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</si>
  <si>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</si>
  <si>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</si>
  <si>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</si>
  <si>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</si>
  <si>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</si>
  <si>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</si>
  <si>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</si>
  <si>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</si>
  <si>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</si>
  <si>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</si>
  <si>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</si>
  <si>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</si>
  <si>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</si>
  <si>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</si>
  <si>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</si>
  <si>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</si>
  <si>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</si>
  <si>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</si>
  <si>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</si>
  <si>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</si>
  <si>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</si>
  <si>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</si>
  <si>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</si>
  <si>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</si>
  <si>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</si>
  <si>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</si>
  <si>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</si>
  <si>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</si>
  <si>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</si>
  <si>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</si>
  <si>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</si>
  <si>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</si>
  <si>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</si>
  <si>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</si>
  <si>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</si>
  <si>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</si>
  <si>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</si>
  <si>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</si>
  <si>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</si>
  <si>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</si>
  <si>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</si>
  <si>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</si>
  <si>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</si>
  <si>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</si>
  <si>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</si>
  <si>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</si>
  <si>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</si>
  <si>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</si>
  <si>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</si>
  <si>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</si>
  <si>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</si>
  <si>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</si>
  <si>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</si>
  <si>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</si>
  <si>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</si>
  <si>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</si>
  <si>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</si>
  <si>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</si>
  <si>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</si>
  <si>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</si>
  <si>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</si>
  <si>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</si>
  <si>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</si>
  <si>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</si>
  <si>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</si>
  <si>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</si>
  <si>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</si>
  <si>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</si>
  <si>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</si>
  <si>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</si>
  <si>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</si>
  <si>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</si>
  <si>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</si>
  <si>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</si>
  <si>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</si>
  <si>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</si>
  <si>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</si>
  <si>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</si>
  <si>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</si>
  <si>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</si>
  <si>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</si>
  <si>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</si>
  <si>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</si>
  <si>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</si>
  <si>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</si>
  <si>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</si>
  <si>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</si>
  <si>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</si>
  <si>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</si>
  <si>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</si>
  <si>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</si>
  <si>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</si>
  <si>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</si>
  <si>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</si>
  <si>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</si>
  <si>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</si>
  <si>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</si>
  <si>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</si>
  <si>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</si>
  <si>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</si>
  <si>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</si>
  <si>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</si>
  <si>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</si>
  <si>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</si>
  <si>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</si>
  <si>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</si>
  <si>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</si>
  <si>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</si>
  <si>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</si>
  <si>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</si>
  <si>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</si>
  <si>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</si>
  <si>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</si>
  <si>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</si>
  <si>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</si>
  <si>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</si>
  <si>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</si>
  <si>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</si>
  <si>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</si>
  <si>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</si>
  <si>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</si>
  <si>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</si>
  <si>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</si>
  <si>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</si>
  <si>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</si>
  <si>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</si>
  <si>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</si>
  <si>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</si>
  <si>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</si>
  <si>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</si>
  <si>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</si>
  <si>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</si>
  <si>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</si>
  <si>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</si>
  <si>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</si>
  <si>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</si>
  <si>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</si>
  <si>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</si>
  <si>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</si>
  <si>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</si>
  <si>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</si>
  <si>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</si>
  <si>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</si>
  <si>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</si>
  <si>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</si>
  <si>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</si>
  <si>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</si>
  <si>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</si>
  <si>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</si>
  <si>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</si>
  <si>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</si>
  <si>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</si>
  <si>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</si>
  <si>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</si>
  <si>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</si>
  <si>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</si>
  <si>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</si>
  <si>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</si>
  <si>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</si>
  <si>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</si>
  <si>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</si>
  <si>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</si>
  <si>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</si>
  <si>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</si>
  <si>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</si>
  <si>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</si>
  <si>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</si>
  <si>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</si>
  <si>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</si>
  <si>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</si>
  <si>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</si>
  <si>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</si>
  <si>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</si>
  <si>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</si>
  <si>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</si>
  <si>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</si>
  <si>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</si>
  <si>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</si>
  <si>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</si>
  <si>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</si>
  <si>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</si>
  <si>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</si>
  <si>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</si>
  <si>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</si>
  <si>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</si>
  <si>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</si>
  <si>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</si>
  <si>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</si>
  <si>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</si>
  <si>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</si>
  <si>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</si>
  <si>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</si>
  <si>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</si>
  <si>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</si>
  <si>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</si>
  <si>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</si>
  <si>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</si>
  <si>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</si>
  <si>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</si>
  <si>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</si>
  <si>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</si>
  <si>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</si>
  <si>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</si>
  <si>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</si>
  <si>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</si>
  <si>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</si>
  <si>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</si>
  <si>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</si>
  <si>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</si>
  <si>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</si>
  <si>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</si>
  <si>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</si>
  <si>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</si>
  <si>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</si>
  <si>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</si>
  <si>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</si>
  <si>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</si>
  <si>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</si>
  <si>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</si>
  <si>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</si>
  <si>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</si>
  <si>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</si>
  <si>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</si>
  <si>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</si>
  <si>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</si>
  <si>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</si>
  <si>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</si>
  <si>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</si>
  <si>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</si>
  <si>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</si>
  <si>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</si>
  <si>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</si>
  <si>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</si>
  <si>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</si>
  <si>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</si>
  <si>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</si>
  <si>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</si>
  <si>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</si>
  <si>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</si>
  <si>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</si>
  <si>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</si>
  <si>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</si>
  <si>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</si>
  <si>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</si>
  <si>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</si>
  <si>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</si>
  <si>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</si>
  <si>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</si>
  <si>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</si>
  <si>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</si>
  <si>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</si>
  <si>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</si>
  <si>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</si>
  <si>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</si>
  <si>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</si>
  <si>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</si>
  <si>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</si>
  <si>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</si>
  <si>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</si>
  <si>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</si>
  <si>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</si>
  <si>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</si>
  <si>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</si>
  <si>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</si>
  <si>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</si>
  <si>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</si>
  <si>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</si>
  <si>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</si>
  <si>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</si>
  <si>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</si>
  <si>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</si>
  <si>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</si>
  <si>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</si>
  <si>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</si>
  <si>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</si>
  <si>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</si>
  <si>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</si>
  <si>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</si>
  <si>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</si>
  <si>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</si>
  <si>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</si>
  <si>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</si>
  <si>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</si>
  <si>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</si>
  <si>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</si>
  <si>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</si>
  <si>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</si>
  <si>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</si>
  <si>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</si>
  <si>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</si>
  <si>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</si>
  <si>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</si>
  <si>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</si>
  <si>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</si>
  <si>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</si>
  <si>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</si>
  <si>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</si>
  <si>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</si>
  <si>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</si>
  <si>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</si>
  <si>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</si>
  <si>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</si>
  <si>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</si>
  <si>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</si>
  <si>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</si>
  <si>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</si>
  <si>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</si>
  <si>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</si>
  <si>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</si>
  <si>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</si>
  <si>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</si>
  <si>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</si>
  <si>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</si>
  <si>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</si>
  <si>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</si>
  <si>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</si>
  <si>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</si>
  <si>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</si>
  <si>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</si>
  <si>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</si>
  <si>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</si>
  <si>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</si>
  <si>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</si>
  <si>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</si>
  <si>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</si>
  <si>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</si>
  <si>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</si>
  <si>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</si>
  <si>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</si>
  <si>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</si>
  <si>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</si>
  <si>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</si>
  <si>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</si>
  <si>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</si>
  <si>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</si>
  <si>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</si>
  <si>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</si>
  <si>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</si>
  <si>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</si>
  <si>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</si>
  <si>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</si>
  <si>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</si>
  <si>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</si>
  <si>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</si>
  <si>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</si>
  <si>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</si>
  <si>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</si>
  <si>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</si>
  <si>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</si>
  <si>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</si>
  <si>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</si>
  <si>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</si>
  <si>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</si>
  <si>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</si>
  <si>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</si>
  <si>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</si>
  <si>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</si>
  <si>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</si>
  <si>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</si>
  <si>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</si>
  <si>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</si>
  <si>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</si>
  <si>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</si>
  <si>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</si>
  <si>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</si>
  <si>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</si>
  <si>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</si>
  <si>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</si>
  <si>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</si>
  <si>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</si>
  <si>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</si>
  <si>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</si>
  <si>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</si>
  <si>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</si>
  <si>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</si>
  <si>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</si>
  <si>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</si>
  <si>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</si>
  <si>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</si>
  <si>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</si>
  <si>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</si>
  <si>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</si>
  <si>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</si>
  <si>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</si>
  <si>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</si>
  <si>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</si>
  <si>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</si>
  <si>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</si>
  <si>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</si>
  <si>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</si>
  <si>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</si>
  <si>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</si>
  <si>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</si>
  <si>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</si>
  <si>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</si>
  <si>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</si>
  <si>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</si>
  <si>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</si>
  <si>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</si>
  <si>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</si>
  <si>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</si>
  <si>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</si>
  <si>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</si>
  <si>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</si>
  <si>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</si>
  <si>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</si>
  <si>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</si>
  <si>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</si>
  <si>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</si>
  <si>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</si>
  <si>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</si>
  <si>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</si>
  <si>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</si>
  <si>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</si>
  <si>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</si>
  <si>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</si>
  <si>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</si>
  <si>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</si>
  <si>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</si>
  <si>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</si>
  <si>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</si>
  <si>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</si>
  <si>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</si>
  <si>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</si>
  <si>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</si>
  <si>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</si>
  <si>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</si>
  <si>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</si>
  <si>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</si>
  <si>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</si>
  <si>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</si>
  <si>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</si>
  <si>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</si>
  <si>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</si>
  <si>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</si>
  <si>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</si>
  <si>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</si>
  <si>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</si>
  <si>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</si>
  <si>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</si>
  <si>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</si>
  <si>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</si>
  <si>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</si>
  <si>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</si>
  <si>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</si>
  <si>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</si>
  <si>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</si>
  <si>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</si>
  <si>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</si>
  <si>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</si>
  <si>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</si>
  <si>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</si>
  <si>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</si>
  <si>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</si>
  <si>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</si>
  <si>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</si>
  <si>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</si>
  <si>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</si>
  <si>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</si>
  <si>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</si>
  <si>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</si>
  <si>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</si>
  <si>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</si>
  <si>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</si>
  <si>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</si>
  <si>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</si>
  <si>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</si>
  <si>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</si>
  <si>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</si>
  <si>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</si>
  <si>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</si>
  <si>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</si>
  <si>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</si>
  <si>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</si>
  <si>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</si>
  <si>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</si>
  <si>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</si>
  <si>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</si>
  <si>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</si>
  <si>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</si>
  <si>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</si>
  <si>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</si>
  <si>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</si>
  <si>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</si>
  <si>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</si>
  <si>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</si>
  <si>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</si>
  <si>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</si>
  <si>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</si>
  <si>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</si>
  <si>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</si>
  <si>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</si>
  <si>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</si>
  <si>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</si>
  <si>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</si>
  <si>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</si>
  <si>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</si>
  <si>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</si>
  <si>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</si>
  <si>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</si>
  <si>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</si>
  <si>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</si>
  <si>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</si>
  <si>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</si>
  <si>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</si>
  <si>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</si>
  <si>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</si>
  <si>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</si>
  <si>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</si>
  <si>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</si>
  <si>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</si>
  <si>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</si>
  <si>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</si>
  <si>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</si>
  <si>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</si>
  <si>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</si>
  <si>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</si>
  <si>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</si>
  <si>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CATALUÑA</t>
  </si>
  <si>
    <t>Provincias</t>
  </si>
  <si>
    <t>BARCELONA</t>
  </si>
  <si>
    <t>Resumenes por Partidos Judiciales</t>
  </si>
  <si>
    <t>VIC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</si>
</sst>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04zZhOElfXi0OQ0AKXBjrtTlw+iFu3+V6usbf2nV8UuZNqC+FpckitsaVfOpxqYfSIAUEKe49dDmug5Q3W686g==" saltValue="IXr92D2+PVIKdYR/kN0Pe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107</v>
      </c>
      <c r="D10" s="224">
        <f>IF(ISNUMBER(Datos!I10),Datos!I10," - ")</f>
        <v>107</v>
      </c>
      <c r="E10" s="225">
        <f>IF(ISNUMBER(Datos!J10),Datos!J10," - ")</f>
        <v>11</v>
      </c>
      <c r="F10" s="225">
        <f>IF(ISNUMBER(Datos!K10),Datos!K10," - ")</f>
        <v>20</v>
      </c>
      <c r="G10" s="1033" t="str">
        <f>IF(Datos!E10&lt;&gt;"",Datos!E10,Datos!D10)</f>
        <v>37</v>
      </c>
      <c r="H10" s="226">
        <f>IF(ISNUMBER(Datos!L10),Datos!L10," - ")</f>
        <v>98</v>
      </c>
      <c r="I10" s="1043" t="str">
        <f>IF(ISNUMBER(Datos!AS10/Datos!BM10),Datos!AS10/Datos!BM10," - ")</f>
        <v xml:space="preserve"> - </v>
      </c>
      <c r="J10" s="1044">
        <f>IF(ISNUMBER(Datos!BY10/Datos!CN10),Datos!BY10/Datos!CN10," - ")</f>
        <v>0</v>
      </c>
      <c r="K10" s="229">
        <f t="shared" ref="K10:K12" si="1">IF(ISNUMBER((E10-F10)/C10),(E10-F10)/C10," - ")</f>
        <v>-8.4112149532710276E-2</v>
      </c>
      <c r="L10" s="1024">
        <f>IF(ISNUMBER(NºAsuntos!I10/NºAsuntos!G10),(NºAsuntos!I10/NºAsuntos!G10)*11," - ")</f>
        <v>53.900000000000006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6</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58.663878326996198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107</v>
      </c>
      <c r="D13" s="1048">
        <f>SUBTOTAL(9,D9:D12)</f>
        <v>107</v>
      </c>
      <c r="E13" s="1049">
        <f>SUBTOTAL(9,E9:E12)</f>
        <v>11</v>
      </c>
      <c r="F13" s="1050">
        <f>SUBTOTAL(9,F9:F12)</f>
        <v>20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6</v>
      </c>
      <c r="B16" s="501" t="str">
        <f>Datos!A16</f>
        <v xml:space="preserve">Jdos. 1ª Instª. e Instr./Secc. Civil y de Inst. TI                      </v>
      </c>
      <c r="C16" s="224">
        <f t="shared" si="2"/>
        <v>3070</v>
      </c>
      <c r="D16" s="224">
        <f>IF(ISNUMBER(IF(D_I="SI",Datos!I16,Datos!I16+Datos!AC16)),IF(D_I="SI",Datos!I16,Datos!I16+Datos!AC16)," - ")</f>
        <v>3053</v>
      </c>
      <c r="E16" s="225">
        <f>IF(ISNUMBER(IF(D_I="SI",Datos!J16,Datos!J16+Datos!AD16)),IF(D_I="SI",Datos!J16,Datos!J16+Datos!AD16)," - ")</f>
        <v>1703</v>
      </c>
      <c r="F16" s="225">
        <f>IF(ISNUMBER(IF(D_I="SI",Datos!K16,Datos!K16+Datos!AE16)),IF(D_I="SI",Datos!K16,Datos!K16+Datos!AE16)," - ")</f>
        <v>1411</v>
      </c>
      <c r="G16" s="1033" t="str">
        <f>IF(Datos!E16&lt;&gt;"",Datos!E16,Datos!D16)</f>
        <v>04</v>
      </c>
      <c r="H16" s="226">
        <f>IF(ISNUMBER(IF(D_I="SI",Datos!L16,Datos!L16+Datos!AF16)),IF(D_I="SI",Datos!L16,Datos!L16+Datos!AF16)," - ")</f>
        <v>3362</v>
      </c>
      <c r="I16" s="1043" t="str">
        <f>IF(ISNUMBER(Datos!AS16/Datos!BM16),Datos!AS16/Datos!BM16," - ")</f>
        <v xml:space="preserve"> - </v>
      </c>
      <c r="J16" s="1044">
        <f>IF(ISNUMBER(Datos!BY16/Datos!CN16),Datos!BY16/Datos!CN16," - ")</f>
        <v>0</v>
      </c>
      <c r="K16" s="229">
        <f t="shared" si="3"/>
        <v>9.5114006514657984E-2</v>
      </c>
      <c r="L16" s="1024">
        <f>IF(ISNUMBER(NºAsuntos!I16/NºAsuntos!G16),(NºAsuntos!I16/NºAsuntos!G16)*11," - ")</f>
        <v>26.209780297661236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81</v>
      </c>
      <c r="D17" s="224">
        <f>IF(ISNUMBER(IF(D_I="SI",Datos!I17,Datos!I17+Datos!AC17)),IF(D_I="SI",Datos!I17,Datos!I17+Datos!AC17)," - ")</f>
        <v>80</v>
      </c>
      <c r="E17" s="225">
        <f>IF(ISNUMBER(IF(D_I="SI",Datos!J17,Datos!J17+Datos!AD17)),IF(D_I="SI",Datos!J17,Datos!J17+Datos!AD17)," - ")</f>
        <v>131</v>
      </c>
      <c r="F17" s="225">
        <f>IF(ISNUMBER(IF(D_I="SI",Datos!K17,Datos!K17+Datos!AE17)),IF(D_I="SI",Datos!K17,Datos!K17+Datos!AE17)," - ")</f>
        <v>137</v>
      </c>
      <c r="G17" s="1033" t="str">
        <f>IF(Datos!E17&lt;&gt;"",Datos!E17,Datos!D17)</f>
        <v>37</v>
      </c>
      <c r="H17" s="226">
        <f>IF(ISNUMBER(IF(D_I="SI",Datos!L17,Datos!L17+Datos!AF17)),IF(D_I="SI",Datos!L17,Datos!L17+Datos!AF17)," - ")</f>
        <v>75</v>
      </c>
      <c r="I17" s="1043" t="str">
        <f>IF(ISNUMBER(Datos!AS17/Datos!BM17),Datos!AS17/Datos!BM17," - ")</f>
        <v xml:space="preserve"> - </v>
      </c>
      <c r="J17" s="1044" t="str">
        <f>IF(ISNUMBER((Datos!BY17+Datos!BZ17)/Datos!CN17),(Datos!BY17+Datos!BZ17)/Datos!CN17," - ")</f>
        <v xml:space="preserve"> - </v>
      </c>
      <c r="K17" s="229">
        <f t="shared" si="3"/>
        <v>-7.407407407407407E-2</v>
      </c>
      <c r="L17" s="1024">
        <f>IF(ISNUMBER(NºAsuntos!I17/NºAsuntos!G17),(NºAsuntos!I17/NºAsuntos!G17)*11," - ")</f>
        <v>6.0218978102189782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3151</v>
      </c>
      <c r="D18" s="1048">
        <f>SUBTOTAL(9,D15:D17)</f>
        <v>3133</v>
      </c>
      <c r="E18" s="1049">
        <f>SUBTOTAL(9,E15:E17)</f>
        <v>1834</v>
      </c>
      <c r="F18" s="1049">
        <f>SUBTOTAL(9,F15:F17)</f>
        <v>1548</v>
      </c>
      <c r="G18" s="1051" t="str">
        <f ca="1">INDIRECT(CONCATENATE("G",ROW()-1))</f>
        <v>37</v>
      </c>
      <c r="H18" s="1052">
        <f ca="1">SUMIF(G$14:G17,G18,H$14:H17)</f>
        <v>75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3258</v>
      </c>
      <c r="D19" s="1070">
        <f>SUBTOTAL(9,D9:D18)</f>
        <v>3240</v>
      </c>
      <c r="E19" s="1071">
        <f>SUBTOTAL(9,E9:E18)</f>
        <v>1845</v>
      </c>
      <c r="F19" s="1071">
        <f>SUBTOTAL(9,F9:F18)</f>
        <v>1568</v>
      </c>
      <c r="G19" s="1072"/>
      <c r="H19" s="1073">
        <f ca="1">SUMIF(B9:B18,"TOTAL",H9:H18)</f>
        <v>75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Ab3xhhVWKCeIF9DKybbANAx9bQw7LMaTiXXd3aaoIzs0sjzDaiVrLk3qJInJ2zZpDhpTYnRFR3Y8lAjOJbP1SQ==" saltValue="B0BeDTi9YjyCk+VXk7s+W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Zh9n9QnpP9aSrv6OmUiIzUYK1bq9Da+cBs5p9fZVUft1HDC9F1hfzEw2cO+eDEDIxi1Q/dwWFavO59vIgslMlQ==" saltValue="967RYKjOtbnAXCK9DWZs4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107</v>
      </c>
      <c r="J10" s="180">
        <v>11</v>
      </c>
      <c r="K10" s="180">
        <v>20</v>
      </c>
      <c r="L10" s="180">
        <v>98</v>
      </c>
      <c r="M10" s="180">
        <v>10</v>
      </c>
      <c r="N10" s="180">
        <v>3</v>
      </c>
      <c r="O10" s="180">
        <v>8</v>
      </c>
      <c r="P10" s="180">
        <v>5</v>
      </c>
      <c r="Q10" s="180">
        <v>1</v>
      </c>
      <c r="R10" s="180">
        <v>59</v>
      </c>
      <c r="S10" s="180">
        <v>91</v>
      </c>
      <c r="T10" s="180">
        <v>21</v>
      </c>
      <c r="U10" s="180">
        <v>15</v>
      </c>
      <c r="V10" s="180">
        <v>97</v>
      </c>
      <c r="W10" s="180">
        <v>3</v>
      </c>
      <c r="X10" s="187">
        <v>5</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91</v>
      </c>
      <c r="AZ10" s="129">
        <f t="shared" si="0"/>
        <v>21</v>
      </c>
      <c r="BA10" s="129">
        <f t="shared" si="0"/>
        <v>15</v>
      </c>
      <c r="BB10" s="129">
        <f t="shared" si="0"/>
        <v>97</v>
      </c>
      <c r="BC10" s="125">
        <f t="shared" si="0"/>
        <v>3</v>
      </c>
      <c r="BD10" s="126">
        <f>IF(ISNUMBER(BA10/AZ10),BA10/AZ10," - ")</f>
        <v>0.7142857142857143</v>
      </c>
      <c r="BE10" s="127">
        <f>IF(ISNUMBER(BB10/BA10),BB10/BA10, " - ")</f>
        <v>6.4666666666666668</v>
      </c>
      <c r="BF10" s="127">
        <f>IF(ISNUMBER(BC10/BA10),BC10/BA10, " - ")</f>
        <v>0.2</v>
      </c>
      <c r="BG10" s="195">
        <f>IF(ISNUMBER((AY10+AZ10)/BA10),(AY10+AZ10)/BA10," - ")</f>
        <v>7.4666666666666668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7058</v>
      </c>
      <c r="J12" s="182">
        <v>1065</v>
      </c>
      <c r="K12" s="182">
        <v>1237</v>
      </c>
      <c r="L12" s="182">
        <v>6886</v>
      </c>
      <c r="M12" s="182">
        <v>424</v>
      </c>
      <c r="N12" s="182">
        <v>520</v>
      </c>
      <c r="O12" s="180">
        <v>434</v>
      </c>
      <c r="P12" s="182">
        <v>433</v>
      </c>
      <c r="Q12" s="182">
        <v>82</v>
      </c>
      <c r="R12" s="182">
        <v>8639</v>
      </c>
      <c r="S12" s="182">
        <v>6181</v>
      </c>
      <c r="T12" s="182">
        <v>1431</v>
      </c>
      <c r="U12" s="182">
        <v>1058</v>
      </c>
      <c r="V12" s="182">
        <v>6556</v>
      </c>
      <c r="W12" s="182">
        <v>217</v>
      </c>
      <c r="X12" s="188">
        <v>452</v>
      </c>
      <c r="Y12" s="190">
        <v>119</v>
      </c>
      <c r="Z12" s="180">
        <v>115</v>
      </c>
      <c r="AA12" s="180">
        <v>78</v>
      </c>
      <c r="AB12" s="180">
        <v>127</v>
      </c>
      <c r="AC12" s="182">
        <v>0</v>
      </c>
      <c r="AD12" s="182">
        <v>0</v>
      </c>
      <c r="AE12" s="182">
        <v>0</v>
      </c>
      <c r="AF12" s="188">
        <v>0</v>
      </c>
      <c r="AG12" s="201">
        <v>80</v>
      </c>
      <c r="AH12" s="182">
        <v>82</v>
      </c>
      <c r="AI12" s="182">
        <v>81</v>
      </c>
      <c r="AJ12" s="202">
        <v>81</v>
      </c>
      <c r="AK12" s="181">
        <v>0</v>
      </c>
      <c r="AL12" s="182">
        <v>0</v>
      </c>
      <c r="AM12" s="182">
        <v>0</v>
      </c>
      <c r="AN12" s="188">
        <v>0</v>
      </c>
      <c r="AO12" s="258">
        <v>6</v>
      </c>
      <c r="AP12" s="154">
        <v>6</v>
      </c>
      <c r="AQ12" s="154">
        <v>6</v>
      </c>
      <c r="AR12" s="153">
        <v>6</v>
      </c>
      <c r="AS12" s="339" t="s">
        <v>794</v>
      </c>
      <c r="AT12" s="202"/>
      <c r="AU12" s="201"/>
      <c r="AV12" s="202"/>
      <c r="AW12" s="201"/>
      <c r="AX12" s="202"/>
      <c r="AY12" s="126">
        <f t="shared" si="1"/>
        <v>6261</v>
      </c>
      <c r="AZ12" s="127">
        <f t="shared" si="1"/>
        <v>1513</v>
      </c>
      <c r="BA12" s="127">
        <f t="shared" si="1"/>
        <v>1139</v>
      </c>
      <c r="BB12" s="127">
        <f t="shared" si="1"/>
        <v>6637</v>
      </c>
      <c r="BC12" s="125">
        <f>IF(ISNUMBER(X12),X12," - ")</f>
        <v>452</v>
      </c>
      <c r="BD12" s="126">
        <f t="shared" si="2"/>
        <v>0.7528089887640449</v>
      </c>
      <c r="BE12" s="127">
        <f t="shared" si="3"/>
        <v>5.8270412642669012</v>
      </c>
      <c r="BF12" s="127">
        <f t="shared" si="4"/>
        <v>0.39683933274802458</v>
      </c>
      <c r="BG12" s="195">
        <f t="shared" si="5"/>
        <v>6.8252853380158029</v>
      </c>
      <c r="BH12" s="154">
        <v>6</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7165</v>
      </c>
      <c r="J13" s="183">
        <f t="shared" si="6"/>
        <v>1076</v>
      </c>
      <c r="K13" s="183">
        <f t="shared" si="6"/>
        <v>1257</v>
      </c>
      <c r="L13" s="183">
        <f t="shared" si="6"/>
        <v>6984</v>
      </c>
      <c r="M13" s="183">
        <f t="shared" si="6"/>
        <v>434</v>
      </c>
      <c r="N13" s="183">
        <f t="shared" si="6"/>
        <v>523</v>
      </c>
      <c r="O13" s="183">
        <f t="shared" si="6"/>
        <v>442</v>
      </c>
      <c r="P13" s="183">
        <f t="shared" si="6"/>
        <v>438</v>
      </c>
      <c r="Q13" s="183">
        <f t="shared" si="6"/>
        <v>83</v>
      </c>
      <c r="R13" s="183">
        <f t="shared" si="6"/>
        <v>8698</v>
      </c>
      <c r="S13" s="183">
        <f t="shared" si="6"/>
        <v>6272</v>
      </c>
      <c r="T13" s="183">
        <f t="shared" si="6"/>
        <v>1452</v>
      </c>
      <c r="U13" s="183">
        <f t="shared" si="6"/>
        <v>1073</v>
      </c>
      <c r="V13" s="183">
        <f t="shared" si="6"/>
        <v>6653</v>
      </c>
      <c r="W13" s="183">
        <f t="shared" si="6"/>
        <v>220</v>
      </c>
      <c r="X13" s="183">
        <f t="shared" si="6"/>
        <v>457</v>
      </c>
      <c r="Y13" s="183">
        <f t="shared" si="6"/>
        <v>119</v>
      </c>
      <c r="Z13" s="183">
        <f t="shared" si="6"/>
        <v>115</v>
      </c>
      <c r="AA13" s="183">
        <f t="shared" si="6"/>
        <v>78</v>
      </c>
      <c r="AB13" s="183">
        <f t="shared" si="6"/>
        <v>127</v>
      </c>
      <c r="AC13" s="183">
        <f t="shared" si="6"/>
        <v>0</v>
      </c>
      <c r="AD13" s="183">
        <f t="shared" si="6"/>
        <v>0</v>
      </c>
      <c r="AE13" s="183">
        <f t="shared" si="6"/>
        <v>0</v>
      </c>
      <c r="AF13" s="183">
        <f>SUBTOTAL(9,AF9:AF12)</f>
        <v>0</v>
      </c>
      <c r="AG13" s="183">
        <f t="shared" ref="AG13:AT13" si="7">SUBTOTAL(9,AG8:AG12)</f>
        <v>80</v>
      </c>
      <c r="AH13" s="183">
        <f t="shared" si="7"/>
        <v>82</v>
      </c>
      <c r="AI13" s="183">
        <f t="shared" si="7"/>
        <v>81</v>
      </c>
      <c r="AJ13" s="183">
        <f t="shared" si="7"/>
        <v>81</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6352</v>
      </c>
      <c r="AZ13" s="183">
        <f>SUBTOTAL(9,AZ8:AZ12)</f>
        <v>1534</v>
      </c>
      <c r="BA13" s="183">
        <f>SUBTOTAL(9,BA8:BA12)</f>
        <v>1154</v>
      </c>
      <c r="BB13" s="183">
        <f>SUBTOTAL(9,BB8:BB12)</f>
        <v>6734</v>
      </c>
      <c r="BC13" s="183">
        <f>SUBTOTAL(9,BC8:BC12)</f>
        <v>455</v>
      </c>
      <c r="BD13" s="204">
        <f>IF(ISNUMBER(BA13/AZ13),BA13/AZ13," - ")</f>
        <v>0.75228161668839633</v>
      </c>
      <c r="BE13" s="205">
        <f>IF(ISNUMBER(BB13/BA13),BB13/BA13, " - ")</f>
        <v>5.8353552859618718</v>
      </c>
      <c r="BF13" s="205">
        <f>IF(ISNUMBER(BC13/BA13),BC13/BA13, " - ")</f>
        <v>0.39428076256499134</v>
      </c>
      <c r="BG13" s="206">
        <f>IF(ISNUMBER((AY13+AZ13)/BA13),(AY13+AZ13)/BA13," - ")</f>
        <v>6.8336221837088384</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3053</v>
      </c>
      <c r="J16" s="182">
        <v>1703</v>
      </c>
      <c r="K16" s="182">
        <v>1411</v>
      </c>
      <c r="L16" s="182">
        <v>3362</v>
      </c>
      <c r="M16" s="182">
        <v>245</v>
      </c>
      <c r="N16" s="182">
        <v>912</v>
      </c>
      <c r="O16" s="180">
        <v>11</v>
      </c>
      <c r="P16" s="182">
        <v>37</v>
      </c>
      <c r="Q16" s="182">
        <v>22</v>
      </c>
      <c r="R16" s="182">
        <v>333</v>
      </c>
      <c r="S16" s="182">
        <v>2794</v>
      </c>
      <c r="T16" s="182">
        <v>1817</v>
      </c>
      <c r="U16" s="182">
        <v>1357</v>
      </c>
      <c r="V16" s="182">
        <v>3267</v>
      </c>
      <c r="W16" s="182">
        <v>240</v>
      </c>
      <c r="X16" s="188">
        <v>830</v>
      </c>
      <c r="Y16" s="201">
        <v>0</v>
      </c>
      <c r="Z16" s="182">
        <v>0</v>
      </c>
      <c r="AA16" s="182">
        <v>0</v>
      </c>
      <c r="AB16" s="182">
        <v>0</v>
      </c>
      <c r="AC16" s="182">
        <v>1</v>
      </c>
      <c r="AD16" s="182">
        <v>3</v>
      </c>
      <c r="AE16" s="182">
        <v>3</v>
      </c>
      <c r="AF16" s="188">
        <v>1</v>
      </c>
      <c r="AG16" s="201">
        <v>0</v>
      </c>
      <c r="AH16" s="182">
        <v>0</v>
      </c>
      <c r="AI16" s="182">
        <v>0</v>
      </c>
      <c r="AJ16" s="202">
        <v>0</v>
      </c>
      <c r="AK16" s="181">
        <v>3</v>
      </c>
      <c r="AL16" s="182">
        <v>5</v>
      </c>
      <c r="AM16" s="182">
        <v>6</v>
      </c>
      <c r="AN16" s="188">
        <v>2</v>
      </c>
      <c r="AO16" s="258">
        <v>6</v>
      </c>
      <c r="AP16" s="154">
        <v>6</v>
      </c>
      <c r="AQ16" s="154">
        <v>6</v>
      </c>
      <c r="AR16" s="154">
        <v>6</v>
      </c>
      <c r="AS16" s="339" t="s">
        <v>487</v>
      </c>
      <c r="AT16" s="202"/>
      <c r="AU16" s="201"/>
      <c r="AV16" s="202"/>
      <c r="AW16" s="201"/>
      <c r="AX16" s="202"/>
      <c r="AY16" s="126">
        <f t="shared" si="9"/>
        <v>2794</v>
      </c>
      <c r="AZ16" s="127">
        <f t="shared" si="9"/>
        <v>1817</v>
      </c>
      <c r="BA16" s="127">
        <f t="shared" si="9"/>
        <v>1357</v>
      </c>
      <c r="BB16" s="127">
        <f t="shared" si="9"/>
        <v>3267</v>
      </c>
      <c r="BC16" s="125">
        <f>IF(ISNUMBER(W16),W16," - ")</f>
        <v>240</v>
      </c>
      <c r="BD16" s="126">
        <f t="shared" ref="BD16" si="11">IF(ISNUMBER(BA16/AZ16),BA16/AZ16," - ")</f>
        <v>0.74683544303797467</v>
      </c>
      <c r="BE16" s="127">
        <f t="shared" ref="BE16" si="12">IF(ISNUMBER(BB16/BA16),BB16/BA16, " - ")</f>
        <v>2.4075165806927044</v>
      </c>
      <c r="BF16" s="127">
        <f t="shared" ref="BF16" si="13">IF(ISNUMBER(BC16/BA16),BC16/BA16, " - ")</f>
        <v>0.17686072218128224</v>
      </c>
      <c r="BG16" s="195">
        <f t="shared" si="10"/>
        <v>3.3979366249078851</v>
      </c>
      <c r="BH16" s="154">
        <v>6</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80</v>
      </c>
      <c r="J17" s="182">
        <v>131</v>
      </c>
      <c r="K17" s="182">
        <v>137</v>
      </c>
      <c r="L17" s="182">
        <v>75</v>
      </c>
      <c r="M17" s="182">
        <v>22</v>
      </c>
      <c r="N17" s="182">
        <v>81</v>
      </c>
      <c r="O17" s="182">
        <v>0</v>
      </c>
      <c r="P17" s="182">
        <v>4</v>
      </c>
      <c r="Q17" s="182">
        <v>0</v>
      </c>
      <c r="R17" s="182">
        <v>7</v>
      </c>
      <c r="S17" s="182">
        <v>132</v>
      </c>
      <c r="T17" s="182">
        <v>129</v>
      </c>
      <c r="U17" s="182">
        <v>144</v>
      </c>
      <c r="V17" s="182">
        <v>117</v>
      </c>
      <c r="W17" s="182">
        <v>14</v>
      </c>
      <c r="X17" s="188">
        <v>95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132</v>
      </c>
      <c r="AZ17" s="129">
        <f t="shared" si="14"/>
        <v>129</v>
      </c>
      <c r="BA17" s="129">
        <f t="shared" si="14"/>
        <v>144</v>
      </c>
      <c r="BB17" s="129">
        <f t="shared" si="14"/>
        <v>117</v>
      </c>
      <c r="BC17" s="125">
        <f>IF(ISNUMBER(W17),W17," - ")</f>
        <v>14</v>
      </c>
      <c r="BD17" s="126">
        <f>IF(ISNUMBER(BA17/AZ17),BA17/AZ17," - ")</f>
        <v>1.1162790697674418</v>
      </c>
      <c r="BE17" s="127">
        <f>IF(ISNUMBER(BB17/BA17),BB17/BA17, " - ")</f>
        <v>0.8125</v>
      </c>
      <c r="BF17" s="127">
        <f>IF(ISNUMBER(BC17/BA17),BC17/BA17, " - ")</f>
        <v>9.7222222222222224E-2</v>
      </c>
      <c r="BG17" s="195">
        <f>IF(ISNUMBER((AY17+AZ17)/BA17),(AY17+AZ17)/BA17," - ")</f>
        <v>1.8125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3133</v>
      </c>
      <c r="J18" s="183">
        <f t="shared" si="15"/>
        <v>1834</v>
      </c>
      <c r="K18" s="183">
        <f t="shared" si="15"/>
        <v>1548</v>
      </c>
      <c r="L18" s="183">
        <f t="shared" si="15"/>
        <v>3437</v>
      </c>
      <c r="M18" s="183">
        <f t="shared" si="15"/>
        <v>267</v>
      </c>
      <c r="N18" s="183">
        <f t="shared" si="15"/>
        <v>993</v>
      </c>
      <c r="O18" s="183">
        <f t="shared" si="15"/>
        <v>11</v>
      </c>
      <c r="P18" s="183">
        <f t="shared" si="15"/>
        <v>41</v>
      </c>
      <c r="Q18" s="183">
        <f t="shared" si="15"/>
        <v>22</v>
      </c>
      <c r="R18" s="183">
        <f t="shared" si="15"/>
        <v>340</v>
      </c>
      <c r="S18" s="183">
        <f t="shared" si="15"/>
        <v>2926</v>
      </c>
      <c r="T18" s="183">
        <f t="shared" si="15"/>
        <v>1946</v>
      </c>
      <c r="U18" s="183">
        <f t="shared" si="15"/>
        <v>1501</v>
      </c>
      <c r="V18" s="183">
        <f t="shared" si="15"/>
        <v>3384</v>
      </c>
      <c r="W18" s="183">
        <f t="shared" si="15"/>
        <v>254</v>
      </c>
      <c r="X18" s="183">
        <f t="shared" si="15"/>
        <v>925</v>
      </c>
      <c r="Y18" s="183">
        <f t="shared" si="15"/>
        <v>0</v>
      </c>
      <c r="Z18" s="183">
        <f t="shared" si="15"/>
        <v>0</v>
      </c>
      <c r="AA18" s="183">
        <f t="shared" si="15"/>
        <v>0</v>
      </c>
      <c r="AB18" s="183">
        <f t="shared" si="15"/>
        <v>0</v>
      </c>
      <c r="AC18" s="183">
        <f t="shared" si="15"/>
        <v>1</v>
      </c>
      <c r="AD18" s="183">
        <f t="shared" si="15"/>
        <v>3</v>
      </c>
      <c r="AE18" s="183">
        <f t="shared" si="15"/>
        <v>3</v>
      </c>
      <c r="AF18" s="183">
        <f t="shared" si="15"/>
        <v>1</v>
      </c>
      <c r="AG18" s="183">
        <f t="shared" si="15"/>
        <v>0</v>
      </c>
      <c r="AH18" s="183">
        <f t="shared" si="15"/>
        <v>0</v>
      </c>
      <c r="AI18" s="183">
        <f t="shared" si="15"/>
        <v>0</v>
      </c>
      <c r="AJ18" s="183">
        <f t="shared" si="15"/>
        <v>0</v>
      </c>
      <c r="AK18" s="183">
        <f t="shared" si="15"/>
        <v>3</v>
      </c>
      <c r="AL18" s="183">
        <f t="shared" si="15"/>
        <v>5</v>
      </c>
      <c r="AM18" s="183">
        <f t="shared" si="15"/>
        <v>6</v>
      </c>
      <c r="AN18" s="183">
        <f t="shared" si="15"/>
        <v>2</v>
      </c>
      <c r="AO18" s="183">
        <f t="shared" si="15"/>
        <v>7</v>
      </c>
      <c r="AP18" s="183">
        <f t="shared" si="15"/>
        <v>6</v>
      </c>
      <c r="AQ18" s="183">
        <f t="shared" si="15"/>
        <v>6</v>
      </c>
      <c r="AR18" s="183">
        <f t="shared" si="15"/>
        <v>6</v>
      </c>
      <c r="AS18" s="183">
        <f t="shared" si="15"/>
        <v>0</v>
      </c>
      <c r="AT18" s="183">
        <f t="shared" si="15"/>
        <v>0</v>
      </c>
      <c r="AU18" s="203"/>
      <c r="AV18" s="132"/>
      <c r="AW18" s="203"/>
      <c r="AX18" s="132"/>
      <c r="AY18" s="183">
        <f>SUBTOTAL(9,AY14:AY17)</f>
        <v>2926</v>
      </c>
      <c r="AZ18" s="183">
        <f>SUBTOTAL(9,AZ14:AZ17)</f>
        <v>1946</v>
      </c>
      <c r="BA18" s="183">
        <f>SUBTOTAL(9,BA14:BA17)</f>
        <v>1501</v>
      </c>
      <c r="BB18" s="183">
        <f>SUBTOTAL(9,BB14:BB17)</f>
        <v>3384</v>
      </c>
      <c r="BC18" s="183">
        <f>SUBTOTAL(9,BC14:BC17)</f>
        <v>254</v>
      </c>
      <c r="BD18" s="204">
        <f>IF(ISNUMBER(BA18/AZ18),BA18/AZ18," - ")</f>
        <v>0.77132579650565258</v>
      </c>
      <c r="BE18" s="205">
        <f>IF(ISNUMBER(BB18/BA18),BB18/BA18, " - ")</f>
        <v>2.2544970019986676</v>
      </c>
      <c r="BF18" s="205">
        <f>IF(ISNUMBER(BC18/BA18),BC18/BA18, " - ")</f>
        <v>0.1692205196535643</v>
      </c>
      <c r="BG18" s="206">
        <f>IF(ISNUMBER((AY18+AZ18)/BA18),(AY18+AZ18)/BA18," - ")</f>
        <v>3.2458361092604928</v>
      </c>
      <c r="BH18" s="183">
        <f>SUBTOTAL(9,BH14:BH17)</f>
        <v>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10298</v>
      </c>
      <c r="J19" s="134">
        <f t="shared" si="18"/>
        <v>2910</v>
      </c>
      <c r="K19" s="134">
        <f t="shared" si="18"/>
        <v>2805</v>
      </c>
      <c r="L19" s="134">
        <f t="shared" si="18"/>
        <v>10421</v>
      </c>
      <c r="M19" s="134">
        <f t="shared" si="18"/>
        <v>701</v>
      </c>
      <c r="N19" s="134">
        <f t="shared" si="18"/>
        <v>1516</v>
      </c>
      <c r="O19" s="134">
        <f t="shared" si="18"/>
        <v>453</v>
      </c>
      <c r="P19" s="134">
        <f t="shared" si="18"/>
        <v>479</v>
      </c>
      <c r="Q19" s="134">
        <f t="shared" si="18"/>
        <v>105</v>
      </c>
      <c r="R19" s="134">
        <f t="shared" si="18"/>
        <v>9038</v>
      </c>
      <c r="S19" s="134">
        <f t="shared" si="18"/>
        <v>9198</v>
      </c>
      <c r="T19" s="134">
        <f t="shared" si="18"/>
        <v>3398</v>
      </c>
      <c r="U19" s="134">
        <f t="shared" si="18"/>
        <v>2574</v>
      </c>
      <c r="V19" s="134">
        <f t="shared" si="18"/>
        <v>10037</v>
      </c>
      <c r="W19" s="134">
        <f t="shared" si="18"/>
        <v>474</v>
      </c>
      <c r="X19" s="134">
        <f t="shared" si="18"/>
        <v>1382</v>
      </c>
      <c r="Y19" s="134">
        <f t="shared" si="18"/>
        <v>119</v>
      </c>
      <c r="Z19" s="134">
        <f t="shared" si="18"/>
        <v>115</v>
      </c>
      <c r="AA19" s="134">
        <f t="shared" si="18"/>
        <v>78</v>
      </c>
      <c r="AB19" s="134">
        <f t="shared" si="18"/>
        <v>127</v>
      </c>
      <c r="AC19" s="134">
        <f t="shared" si="18"/>
        <v>1</v>
      </c>
      <c r="AD19" s="134">
        <f t="shared" si="18"/>
        <v>3</v>
      </c>
      <c r="AE19" s="134">
        <f t="shared" si="18"/>
        <v>3</v>
      </c>
      <c r="AF19" s="134">
        <f t="shared" si="18"/>
        <v>1</v>
      </c>
      <c r="AG19" s="134">
        <f t="shared" si="18"/>
        <v>80</v>
      </c>
      <c r="AH19" s="134">
        <f t="shared" si="18"/>
        <v>82</v>
      </c>
      <c r="AI19" s="134">
        <f t="shared" si="18"/>
        <v>81</v>
      </c>
      <c r="AJ19" s="134">
        <f t="shared" si="18"/>
        <v>81</v>
      </c>
      <c r="AK19" s="134">
        <f t="shared" si="18"/>
        <v>3</v>
      </c>
      <c r="AL19" s="134">
        <f t="shared" si="18"/>
        <v>5</v>
      </c>
      <c r="AM19" s="134">
        <f t="shared" si="18"/>
        <v>6</v>
      </c>
      <c r="AN19" s="209">
        <f t="shared" si="18"/>
        <v>2</v>
      </c>
      <c r="AO19" s="210">
        <v>7</v>
      </c>
      <c r="AP19" s="210">
        <v>6</v>
      </c>
      <c r="AQ19" s="210">
        <v>6</v>
      </c>
      <c r="AR19" s="210">
        <v>6</v>
      </c>
      <c r="AS19" s="152">
        <f t="shared" si="18"/>
        <v>0</v>
      </c>
      <c r="AT19" s="152">
        <f t="shared" si="18"/>
        <v>0</v>
      </c>
      <c r="AU19" s="210"/>
      <c r="AV19" s="211"/>
      <c r="AW19" s="210"/>
      <c r="AX19" s="211"/>
      <c r="AY19" s="133">
        <f>SUBTOTAL(9,AY9:AY18)</f>
        <v>9278</v>
      </c>
      <c r="AZ19" s="134">
        <f>SUBTOTAL(9,AZ9:AZ18)</f>
        <v>3480</v>
      </c>
      <c r="BA19" s="134">
        <f>SUBTOTAL(9,BA9:BA18)</f>
        <v>2655</v>
      </c>
      <c r="BB19" s="134">
        <f>SUBTOTAL(9,BB9:BB18)</f>
        <v>10118</v>
      </c>
      <c r="BC19" s="135">
        <f>SUBTOTAL(9,BC9:BC18)</f>
        <v>709</v>
      </c>
      <c r="BD19" s="212">
        <f>IF(ISNUMBER(BA19/AZ19),BA19/AZ19," - ")</f>
        <v>0.76293103448275867</v>
      </c>
      <c r="BE19" s="209">
        <f>IF(ISNUMBER(BB19/BA19),BB19/BA19, " - ")</f>
        <v>3.8109227871939737</v>
      </c>
      <c r="BF19" s="209">
        <f>IF(ISNUMBER(BC19/BA19),BC19/BA19, " - ")</f>
        <v>0.2670433145009416</v>
      </c>
      <c r="BG19" s="135">
        <f>IF(ISNUMBER((AY19+AZ19)/BA19),(AY19+AZ19)/BA19," - ")</f>
        <v>4.8052730696798491</v>
      </c>
      <c r="BH19" s="210">
        <f>SUBTOTAL(9,BH9:BH18)</f>
        <v>14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bwwMyFCYyAFnoi+LvHI1ANaS+io1pfuM07IQYiIp3jbseoerRoj4edISqopc4xRIVlcwzpoITF2329bf67LQ==" saltValue="dTXcgfMxhrX71FmvwEyov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2HC9DArOajGiTH7mQA0NaBY0qIwUp19Xv4QbfWS3r+1qwdLvgJn9I6I7fDSbe/Y4lFr+OCPTJFx+X9TX0TJ7w==" saltValue="uJz76ZiVP8UijhhGjwa1r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VIC</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107</v>
      </c>
      <c r="G10" s="332">
        <f>IF(ISNUMBER(Datos!I10),Datos!I10," - ")</f>
        <v>107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20</v>
      </c>
      <c r="AC10" s="225">
        <f>IF(ISNUMBER(Datos!Q10),Datos!Q10," - ")</f>
        <v>1</v>
      </c>
      <c r="AD10" s="333"/>
      <c r="AE10" s="483"/>
      <c r="AF10" s="331">
        <f>IF(ISNUMBER(Datos!L10),Datos!L10,"-")</f>
        <v>98</v>
      </c>
      <c r="AG10" s="333"/>
      <c r="AH10" s="333"/>
      <c r="AI10" s="333"/>
      <c r="AJ10" s="333"/>
      <c r="AK10" s="333"/>
      <c r="AL10" s="478"/>
      <c r="AM10" s="334">
        <f>IF(ISNUMBER(Datos!R10),Datos!R10," - ")</f>
        <v>59</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10</v>
      </c>
      <c r="BD10" s="228">
        <f>IF(ISNUMBER(Datos!N10),Datos!N10," - ")</f>
        <v>3</v>
      </c>
      <c r="BE10" s="228" t="str">
        <f>IF(ISNUMBER(Datos!BW10),Datos!BW10," - ")</f>
        <v xml:space="preserve"> - </v>
      </c>
      <c r="BF10" s="227" t="str">
        <f>IF(ISNUMBER(Datos!BX10),Datos!BX10," - ")</f>
        <v xml:space="preserve"> - </v>
      </c>
      <c r="BG10" s="242">
        <f>IF(ISNUMBER(Datos!K10/Datos!J10),Datos!K10/Datos!J10," - ")</f>
        <v>1.8181818181818181</v>
      </c>
      <c r="BH10" s="259">
        <f>IF(ISNUMBER(((Datos!L10/Datos!K10)*11)/factor_trimestre),((Datos!L10/Datos!K10)*11)/factor_trimestre," - ")</f>
        <v>9.8000000000000007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7.2727272727272724E-2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6</v>
      </c>
      <c r="B12" s="506" t="s">
        <v>246</v>
      </c>
      <c r="C12" s="7" t="str">
        <f>Datos!A12</f>
        <v xml:space="preserve">Jdos. 1ª Instª. e Instr./Secc. Civil y de Inst. TI                      </v>
      </c>
      <c r="D12" s="507"/>
      <c r="E12" s="259">
        <f>IF(ISNUMBER(Datos!AQ12),Datos!AQ12," - ")</f>
        <v>6</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115</v>
      </c>
      <c r="O12" s="333"/>
      <c r="P12" s="333"/>
      <c r="Q12" s="225">
        <f>IF(ISNUMBER(Datos!P12),Datos!P12,0)</f>
        <v>433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82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127</v>
      </c>
      <c r="AI12" s="333" t="str">
        <f>IF(ISNUMBER(Datos!CD12),Datos!CD12,"-")</f>
        <v>-</v>
      </c>
      <c r="AJ12" s="333" t="str">
        <f>IF(ISNUMBER(Datos!EN12),Datos!EN12," - ")</f>
        <v xml:space="preserve"> - </v>
      </c>
      <c r="AK12" s="333"/>
      <c r="AL12" s="478"/>
      <c r="AM12" s="334">
        <f>IF(ISNUMBER(Datos!R12),Datos!R12," - ")</f>
        <v>8639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424</v>
      </c>
      <c r="BD12" s="228">
        <f>IF(ISNUMBER(Datos!N12),Datos!N12," - ")</f>
        <v>520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1.1144067796610169</v>
      </c>
      <c r="BH12" s="259">
        <f>IF(ISNUMBER(((IF(J_V="SI",Datos!L12/Datos!K12,(Datos!L12+Datos!AB12)/(Datos!K12+Datos!AA12)))*11)/factor_trimestre),((IF(J_V="SI",Datos!L12/Datos!K12,(Datos!L12+Datos!AB12)/(Datos!K12+Datos!AA12)))*11)/factor_trimestre," - ")</f>
        <v>10.666159695817491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4.2350386100386099E-2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6</v>
      </c>
      <c r="F13" s="897">
        <f t="shared" si="0"/>
        <v>107</v>
      </c>
      <c r="G13" s="897">
        <f t="shared" si="0"/>
        <v>107</v>
      </c>
      <c r="H13" s="898">
        <f t="shared" si="0"/>
        <v>0</v>
      </c>
      <c r="I13" s="897">
        <f t="shared" si="0"/>
        <v>0</v>
      </c>
      <c r="J13" s="866">
        <f t="shared" si="0"/>
        <v>0</v>
      </c>
      <c r="K13" s="866">
        <f t="shared" si="0"/>
        <v>0</v>
      </c>
      <c r="L13" s="898">
        <f t="shared" si="0"/>
        <v>0</v>
      </c>
      <c r="M13" s="898">
        <f t="shared" si="0"/>
        <v>0</v>
      </c>
      <c r="N13" s="898">
        <f t="shared" si="0"/>
        <v>115</v>
      </c>
      <c r="O13" s="899">
        <f t="shared" si="0"/>
        <v>0</v>
      </c>
      <c r="P13" s="899">
        <f t="shared" si="0"/>
        <v>0</v>
      </c>
      <c r="Q13" s="898">
        <f t="shared" si="0"/>
        <v>438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20</v>
      </c>
      <c r="AC13" s="898">
        <f t="shared" si="1"/>
        <v>83</v>
      </c>
      <c r="AD13" s="898">
        <f t="shared" si="1"/>
        <v>0</v>
      </c>
      <c r="AE13" s="898">
        <f t="shared" si="1"/>
        <v>0</v>
      </c>
      <c r="AF13" s="898">
        <f t="shared" si="1"/>
        <v>98</v>
      </c>
      <c r="AG13" s="898">
        <f t="shared" si="1"/>
        <v>0</v>
      </c>
      <c r="AH13" s="898">
        <f t="shared" si="1"/>
        <v>127</v>
      </c>
      <c r="AI13" s="898">
        <f t="shared" si="1"/>
        <v>0</v>
      </c>
      <c r="AJ13" s="898">
        <f t="shared" si="1"/>
        <v>0</v>
      </c>
      <c r="AK13" s="898">
        <f t="shared" si="1"/>
        <v>0</v>
      </c>
      <c r="AL13" s="898">
        <f t="shared" si="1"/>
        <v>0</v>
      </c>
      <c r="AM13" s="898">
        <f t="shared" si="1"/>
        <v>8698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434</v>
      </c>
      <c r="BD13" s="898">
        <f t="shared" si="1"/>
        <v>523</v>
      </c>
      <c r="BE13" s="898">
        <f t="shared" si="1"/>
        <v>0</v>
      </c>
      <c r="BF13" s="898">
        <f t="shared" si="1"/>
        <v>0</v>
      </c>
      <c r="BG13" s="898">
        <f>IF(ISNUMBER(Datos!K13/Datos!J13),Datos!K13/Datos!J13," - ")</f>
        <v>1.1682156133828996</v>
      </c>
      <c r="BH13" s="902">
        <f>IF(ISNUMBER(((Datos!L13/Datos!K13)*11)/factor_trimestre),((Datos!L13/Datos!K13)*11)/factor_trimestre," - ")</f>
        <v>11.11217183770883</v>
      </c>
      <c r="BI13" s="898">
        <f>IF(ISNUMBER('Resol  Asuntos'!D13/NºAsuntos!G13),'Resol  Asuntos'!D13/NºAsuntos!G13," - ")</f>
        <v>0.3250936329588015</v>
      </c>
      <c r="BJ13" s="898" t="str">
        <f>IF(ISNUMBER(Datos!CI13/Datos!CJ13),Datos!CI13/Datos!CJ13," - ")</f>
        <v xml:space="preserve"> - </v>
      </c>
      <c r="BK13" s="898">
        <f>SUBTOTAL(9,BK8:BK12)</f>
        <v>0</v>
      </c>
      <c r="BL13" s="898">
        <f>IF(ISNUMBER((I13-AB13+L13)/(F13)),(I13-AB13+L13)/(F13)," - ")</f>
        <v>-0.18691588785046728</v>
      </c>
      <c r="BM13" s="903">
        <f>SUBTOTAL(9,BM9:BM12)</f>
        <v>0.11507765882765883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6</v>
      </c>
      <c r="B16" s="593" t="s">
        <v>396</v>
      </c>
      <c r="C16" s="599" t="str">
        <f>Datos!A16</f>
        <v xml:space="preserve">Jdos. 1ª Instª. e Instr./Secc. Civil y de Inst. TI                      </v>
      </c>
      <c r="D16" s="600"/>
      <c r="E16" s="1164">
        <f>IF(ISNUMBER(Datos!AQ16),Datos!AQ16," - ")</f>
        <v>6</v>
      </c>
      <c r="F16" s="594">
        <f>IF(ISNUMBER(AF16+AB16-Datos!J16-L16),AF16+AB16-Datos!J16-L16," - ")</f>
        <v>3070</v>
      </c>
      <c r="G16" s="597">
        <f>IF(ISNUMBER(IF(D_I="SI",Datos!I16,Datos!I16+Datos!AC16)),IF(D_I="SI",Datos!I16,Datos!I16+Datos!AC16)," - ")</f>
        <v>3053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1411</v>
      </c>
      <c r="AC16" s="225">
        <f>IF(ISNUMBER(Datos!Q16),Datos!Q16," - ")</f>
        <v>22</v>
      </c>
      <c r="AD16" s="333"/>
      <c r="AE16" s="483"/>
      <c r="AF16" s="595">
        <f>IF(ISNUMBER(IF(D_I="SI",Datos!L16,Datos!L16+Datos!AF16)),IF(D_I="SI",Datos!L16,Datos!L16+Datos!AF16)," - ")</f>
        <v>3362</v>
      </c>
      <c r="AG16" s="333"/>
      <c r="AH16" s="333"/>
      <c r="AI16" s="333"/>
      <c r="AJ16" s="333"/>
      <c r="AK16" s="333"/>
      <c r="AL16" s="478"/>
      <c r="AM16" s="334">
        <f>IF(ISNUMBER(Datos!R16),Datos!R16," - ")</f>
        <v>333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245</v>
      </c>
      <c r="BD16" s="228">
        <f>IF(ISNUMBER(Datos!N16),Datos!N16," - ")</f>
        <v>912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0.82853787433940107</v>
      </c>
      <c r="BH16" s="259">
        <f>IF(ISNUMBER(((IF(D_I="SI",Datos!L16/Datos!K16,(Datos!L16+Datos!AF16)/(Datos!K16+Datos!AE16)))*11)/factor_trimestre),((IF(D_I="SI",Datos!L16/Datos!K16,(Datos!L16+Datos!AF16)/(Datos!K16+Datos!AE16)))*11)/factor_trimestre," - ")</f>
        <v>4.7654145995747701</v>
      </c>
      <c r="BI16" s="242">
        <f>IF(ISNUMBER('Resol  Asuntos'!D16/NºAsuntos!G16),'Resol  Asuntos'!D16/NºAsuntos!G16," - ")</f>
        <v>0.17363571934798017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80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4</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137</v>
      </c>
      <c r="AC17" s="225">
        <f>IF(ISNUMBER(Datos!Q17),Datos!Q17," - ")</f>
        <v>0</v>
      </c>
      <c r="AD17" s="333"/>
      <c r="AE17" s="483"/>
      <c r="AF17" s="331">
        <f>IF(ISNUMBER(Datos!L17),Datos!L17,"-")</f>
        <v>75</v>
      </c>
      <c r="AG17" s="333"/>
      <c r="AH17" s="333"/>
      <c r="AI17" s="333"/>
      <c r="AJ17" s="333"/>
      <c r="AK17" s="333"/>
      <c r="AL17" s="478"/>
      <c r="AM17" s="334">
        <f>IF(ISNUMBER(Datos!R17),Datos!R17," - ")</f>
        <v>7</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22</v>
      </c>
      <c r="BD17" s="228">
        <f>IF(ISNUMBER(Datos!N17),Datos!N17," - ")</f>
        <v>81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1.0458015267175573</v>
      </c>
      <c r="BH17" s="259">
        <f>IF(ISNUMBER(((IF(D_I="SI",Datos!L17/Datos!K17,(Datos!L17+Datos!AF17)/(Datos!K17+Datos!AE17)))*11)/factor_trimestre),((IF(D_I="SI",Datos!L17/Datos!K17,(Datos!L17+Datos!AF17)/(Datos!K17+Datos!AE17)))*11)/factor_trimestre," - ")</f>
        <v>1.0948905109489051</v>
      </c>
      <c r="BI17" s="242">
        <f>IF(ISNUMBER('Resol  Asuntos'!D17/NºAsuntos!G17),'Resol  Asuntos'!D17/NºAsuntos!G17," - ")</f>
        <v>0.16058394160583941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6</v>
      </c>
      <c r="F18" s="897">
        <f>SUBTOTAL(9,F15:F17)</f>
        <v>3070</v>
      </c>
      <c r="G18" s="897">
        <f>SUBTOTAL(9,G15:G17)</f>
        <v>3133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1548</v>
      </c>
      <c r="AC18" s="898">
        <f t="shared" si="4"/>
        <v>22</v>
      </c>
      <c r="AD18" s="898">
        <f t="shared" si="4"/>
        <v>0</v>
      </c>
      <c r="AE18" s="898">
        <f t="shared" si="4"/>
        <v>0</v>
      </c>
      <c r="AF18" s="898">
        <f t="shared" si="4"/>
        <v>3437</v>
      </c>
      <c r="AG18" s="898">
        <f t="shared" si="4"/>
        <v>0</v>
      </c>
      <c r="AH18" s="898">
        <f t="shared" si="4"/>
        <v>0</v>
      </c>
      <c r="AI18" s="898">
        <f t="shared" si="4"/>
        <v>0</v>
      </c>
      <c r="AJ18" s="898">
        <f t="shared" si="4"/>
        <v>0</v>
      </c>
      <c r="AK18" s="898">
        <f t="shared" si="4"/>
        <v>0</v>
      </c>
      <c r="AL18" s="898">
        <f t="shared" si="4"/>
        <v>0</v>
      </c>
      <c r="AM18" s="898">
        <f t="shared" si="4"/>
        <v>340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267</v>
      </c>
      <c r="BD18" s="898">
        <f t="shared" si="4"/>
        <v>993</v>
      </c>
      <c r="BE18" s="898">
        <f t="shared" si="4"/>
        <v>0</v>
      </c>
      <c r="BF18" s="898">
        <f t="shared" si="4"/>
        <v>0</v>
      </c>
      <c r="BG18" s="898">
        <f>IF(ISNUMBER(Datos!K18/Datos!J18),Datos!K18/Datos!J18," - ")</f>
        <v>0.84405670665212651</v>
      </c>
      <c r="BH18" s="902">
        <f>IF(ISNUMBER(((Datos!L18/Datos!K18)*11)/factor_trimestre),((Datos!L18/Datos!K18)*11)/factor_trimestre," - ")</f>
        <v>4.4405684754521966</v>
      </c>
      <c r="BI18" s="898">
        <f>SUBTOTAL(9,BI15:BI17)</f>
        <v>0.33421966095381961</v>
      </c>
      <c r="BJ18" s="898">
        <f>SUBTOTAL(9,BJ15:BJ17)</f>
        <v>0</v>
      </c>
      <c r="BK18" s="898">
        <f>SUBTOTAL(9,BK15:BK17)</f>
        <v>0</v>
      </c>
      <c r="BL18" s="898">
        <f>IF(ISNUMBER((I18-AB18+L18)/(F18)),(I18-AB18+L18)/(F18)," - ")</f>
        <v>-0.50423452768729637</v>
      </c>
      <c r="BM18" s="904">
        <f>IF(ISNUMBER((Datos!P18-Datos!Q18)/(Datos!R18-Datos!P18+Datos!Q18)),(Datos!P18-Datos!Q18)/(Datos!R18-Datos!P18+Datos!Q18)," - ")</f>
        <v>5.9190031152647975E-2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12</v>
      </c>
      <c r="F19" s="819">
        <f t="shared" si="6"/>
        <v>3177</v>
      </c>
      <c r="G19" s="819">
        <f t="shared" si="6"/>
        <v>3240</v>
      </c>
      <c r="H19" s="821">
        <f t="shared" si="6"/>
        <v>0</v>
      </c>
      <c r="I19" s="819">
        <f t="shared" si="6"/>
        <v>0</v>
      </c>
      <c r="J19" s="821">
        <f t="shared" si="6"/>
        <v>0</v>
      </c>
      <c r="K19" s="821">
        <f t="shared" si="6"/>
        <v>0</v>
      </c>
      <c r="L19" s="880">
        <f t="shared" si="6"/>
        <v>0</v>
      </c>
      <c r="M19" s="880">
        <f t="shared" si="6"/>
        <v>0</v>
      </c>
      <c r="N19" s="880">
        <f t="shared" si="6"/>
        <v>115</v>
      </c>
      <c r="O19" s="880">
        <f t="shared" si="6"/>
        <v>0</v>
      </c>
      <c r="P19" s="880">
        <f t="shared" si="6"/>
        <v>0</v>
      </c>
      <c r="Q19" s="821">
        <f t="shared" si="6"/>
        <v>479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1568</v>
      </c>
      <c r="AC19" s="820">
        <f t="shared" si="7"/>
        <v>105</v>
      </c>
      <c r="AD19" s="820">
        <f t="shared" si="7"/>
        <v>0</v>
      </c>
      <c r="AE19" s="820">
        <f t="shared" si="7"/>
        <v>0</v>
      </c>
      <c r="AF19" s="827">
        <f t="shared" si="7"/>
        <v>3535</v>
      </c>
      <c r="AG19" s="827">
        <f t="shared" si="7"/>
        <v>0</v>
      </c>
      <c r="AH19" s="827">
        <f t="shared" si="7"/>
        <v>127</v>
      </c>
      <c r="AI19" s="827">
        <f t="shared" si="7"/>
        <v>0</v>
      </c>
      <c r="AJ19" s="820">
        <f t="shared" si="7"/>
        <v>0</v>
      </c>
      <c r="AK19" s="827">
        <f t="shared" si="7"/>
        <v>0</v>
      </c>
      <c r="AL19" s="827">
        <f t="shared" si="7"/>
        <v>0</v>
      </c>
      <c r="AM19" s="827">
        <f t="shared" si="7"/>
        <v>9038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701</v>
      </c>
      <c r="BD19" s="819">
        <f t="shared" si="7"/>
        <v>1516</v>
      </c>
      <c r="BE19" s="819">
        <f t="shared" si="7"/>
        <v>0</v>
      </c>
      <c r="BF19" s="829">
        <f t="shared" si="7"/>
        <v>0</v>
      </c>
      <c r="BG19" s="914">
        <f>IF(ISNUMBER(Datos!K19/Datos!J19),Datos!K19/Datos!J19," - ")</f>
        <v>0.96391752577319589</v>
      </c>
      <c r="BH19" s="914">
        <f>IF(ISNUMBER(((Datos!L19/Datos!K19)*11)/factor_trimestre),((Datos!L19/Datos!K19)*11)/factor_trimestre," - ")</f>
        <v>7.4303030303030306</v>
      </c>
      <c r="BI19" s="812">
        <f>IF(ISNUMBER(Datos!J19/Datos!I19),Datos!J19/Datos!I19," - ")</f>
        <v>0.28257914158088948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-0.49354737173434055</v>
      </c>
      <c r="BM19" s="888">
        <f>IF(ISNUMBER((Datos!P19-Datos!Q19+R19)/(Datos!R19-Datos!P19+Datos!Q19-R19)),(Datos!P19-Datos!Q19+R19)/(Datos!R19-Datos!P19+Datos!Q19-R19)," - ")</f>
        <v>4.3167128347183746E-2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1296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3.1622776601683795</v>
      </c>
      <c r="F21" s="550">
        <f>IF(ISNUMBER(STDEV(F8:F18)),STDEV(F8:F18),"-")</f>
        <v>1710.6888476088611</v>
      </c>
      <c r="G21" s="551">
        <f>IF(ISNUMBER(STDEV(G8:G18)),STDEV(G8:G18),"-")</f>
        <v>1640.7099073267036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781.00813055947117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185.70370665839349</v>
      </c>
      <c r="BD21" s="550"/>
      <c r="BE21" s="550">
        <f>IF(ISNUMBER(STDEV(BE8:BE18)),STDEV(BE8:BE18),"-")</f>
        <v>0</v>
      </c>
      <c r="BF21" s="555">
        <f>IF(ISNUMBER(STDEV(BF8:BF18)),STDEV(BF8:BF18),"-")</f>
        <v>0</v>
      </c>
      <c r="BG21" s="774">
        <f>IF(ISNUMBER(STDEV(BG8:BG18)),STDEV(BG8:BG18),"-")</f>
        <v>0.36187678808960305</v>
      </c>
      <c r="BH21" s="775">
        <f>IF(ISNUMBER(STDEV(BH8:BH18)),STDEV(BH8:BH18),"-")</f>
        <v>4.1134567447800006</v>
      </c>
      <c r="BI21" s="248">
        <f>IF(ISNUMBER(STDEV(BI8:BI18)),STDEV(BI8:BI18),"-")</f>
        <v>9.4071398756806091E-2</v>
      </c>
      <c r="BJ21" s="229" t="str">
        <f>IF(ISNUMBER(BL21/BM21),BL21/BM21," - ")</f>
        <v xml:space="preserve"> - </v>
      </c>
      <c r="BK21" s="574"/>
      <c r="BL21" s="558">
        <f>IF(ISNUMBER(STDEV(BL8:BL18)),STDEV(BL8:BL18),"-")</f>
        <v>0.22437816202551353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RvysQ4iBpe86eRFC0u984avNnkKcStLq5d6u63NfNUhNo8apc64esYc35YTSSlL0X49UnWGIQXA9gHfRM4uI/Q==" saltValue="U8utxxV1sLDjJBAwbhqMc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VIC</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107</v>
      </c>
      <c r="G10" s="224">
        <f>IF(ISNUMBER(Datos!I10),Datos!I10," - ")</f>
        <v>107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5</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20</v>
      </c>
      <c r="Z10" s="618">
        <f>IF(ISNUMBER(Datos!Q10),Datos!Q10," - ")</f>
        <v>1</v>
      </c>
      <c r="AA10" s="331">
        <f>IF(ISNUMBER(Datos!L10),Datos!L10,"-")</f>
        <v>98</v>
      </c>
      <c r="AB10" s="333"/>
      <c r="AC10" s="333"/>
      <c r="AD10" s="483"/>
      <c r="AE10" s="483">
        <f>IF(ISNUMBER(Datos!R10),Datos!R10," - ")</f>
        <v>59</v>
      </c>
      <c r="AF10" s="228" t="str">
        <f>IF(ISNUMBER(Datos!BV10),Datos!BV10," - ")</f>
        <v xml:space="preserve"> - </v>
      </c>
      <c r="AG10" s="224" t="str">
        <f>IF(ISNUMBER(Datos!DV10),Datos!DV10," - ")</f>
        <v xml:space="preserve"> - </v>
      </c>
      <c r="AH10" s="297"/>
      <c r="AI10" s="226"/>
      <c r="AJ10" s="224">
        <f>IF(ISNUMBER(Datos!M10),Datos!M10," - ")</f>
        <v>10</v>
      </c>
      <c r="AK10" s="228">
        <f>IF(ISNUMBER(Datos!N10),Datos!N10," - ")</f>
        <v>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9.8000000000000007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7.2727272727272724E-2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6</v>
      </c>
      <c r="B12" s="506" t="s">
        <v>246</v>
      </c>
      <c r="C12" s="7" t="str">
        <f>Datos!A12</f>
        <v xml:space="preserve">Jdos. 1ª Instª. e Instr./Secc. Civil y de Inst. TI                      </v>
      </c>
      <c r="D12" s="507"/>
      <c r="E12" s="1167">
        <f>IF(ISNUMBER(Datos!AQ12),Datos!AQ12," - ")</f>
        <v>6</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433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82</v>
      </c>
      <c r="AA12" s="331" t="str">
        <f>IF(ISNUMBER(IF(J_V="SI",Datos!L12,Datos!L12+Datos!AB12)-IF(Monitorios="SI",Datos!CD12,0)),
                          IF(J_V="SI",Datos!L12,Datos!L12+Datos!AB12)-IF(Monitorios="SI",Datos!CD12,0),
                          " - ")</f>
        <v xml:space="preserve"> - </v>
      </c>
      <c r="AB12" s="333"/>
      <c r="AC12" s="333"/>
      <c r="AD12" s="483"/>
      <c r="AE12" s="483">
        <f>IF(ISNUMBER(Datos!R12),Datos!R12," - ")</f>
        <v>8639</v>
      </c>
      <c r="AF12" s="228" t="str">
        <f>IF(ISNUMBER(Datos!BV12),Datos!BV12," - ")</f>
        <v xml:space="preserve"> - </v>
      </c>
      <c r="AG12" s="224" t="str">
        <f>IF(ISNUMBER(Datos!DV12),Datos!DV12," - ")</f>
        <v xml:space="preserve"> - </v>
      </c>
      <c r="AH12" s="297"/>
      <c r="AI12" s="226"/>
      <c r="AJ12" s="224">
        <f>IF(ISNUMBER(Datos!M12),Datos!M12," - ")</f>
        <v>424</v>
      </c>
      <c r="AK12" s="228">
        <f>IF(ISNUMBER(Datos!N12),Datos!N12," - ")</f>
        <v>520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10.666159695817491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4.2350386100386099E-2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6</v>
      </c>
      <c r="F13" s="897">
        <f>SUBTOTAL(9,F8:F12)</f>
        <v>107</v>
      </c>
      <c r="G13" s="897">
        <f>SUBTOTAL(9,G8:G12)</f>
        <v>107</v>
      </c>
      <c r="H13" s="907"/>
      <c r="I13" s="897">
        <f t="shared" ref="I13:N13" si="0">SUBTOTAL(9,I8:I12)</f>
        <v>0</v>
      </c>
      <c r="J13" s="866">
        <f t="shared" si="0"/>
        <v>0</v>
      </c>
      <c r="K13" s="907">
        <f t="shared" si="0"/>
        <v>0</v>
      </c>
      <c r="L13" s="907">
        <f t="shared" si="0"/>
        <v>0</v>
      </c>
      <c r="M13" s="907">
        <f t="shared" si="0"/>
        <v>0</v>
      </c>
      <c r="N13" s="907">
        <f t="shared" si="0"/>
        <v>438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20</v>
      </c>
      <c r="Z13" s="906">
        <f t="shared" si="2"/>
        <v>83</v>
      </c>
      <c r="AA13" s="899">
        <f t="shared" si="2"/>
        <v>98</v>
      </c>
      <c r="AB13" s="899">
        <f t="shared" si="2"/>
        <v>0</v>
      </c>
      <c r="AC13" s="899">
        <f t="shared" si="2"/>
        <v>0</v>
      </c>
      <c r="AD13" s="899">
        <f t="shared" si="2"/>
        <v>0</v>
      </c>
      <c r="AE13" s="899">
        <f t="shared" si="2"/>
        <v>8698</v>
      </c>
      <c r="AF13" s="907">
        <f t="shared" si="2"/>
        <v>0</v>
      </c>
      <c r="AG13" s="907">
        <f t="shared" si="2"/>
        <v>0</v>
      </c>
      <c r="AH13" s="907">
        <f t="shared" si="2"/>
        <v>0</v>
      </c>
      <c r="AI13" s="907">
        <f t="shared" si="2"/>
        <v>0</v>
      </c>
      <c r="AJ13" s="907">
        <f t="shared" si="2"/>
        <v>434</v>
      </c>
      <c r="AK13" s="907">
        <f t="shared" si="2"/>
        <v>523</v>
      </c>
      <c r="AL13" s="907">
        <f t="shared" si="2"/>
        <v>0</v>
      </c>
      <c r="AM13" s="907">
        <f t="shared" si="2"/>
        <v>0</v>
      </c>
      <c r="AN13" s="907">
        <f t="shared" si="2"/>
        <v>0</v>
      </c>
      <c r="AO13" s="903">
        <f>IF(ISNUMBER(((NºAsuntos!I13/NºAsuntos!G13)*11)/factor_trimestre),((NºAsuntos!I13/NºAsuntos!G13)*11)/factor_trimestre," - ")</f>
        <v>10.653183520599251</v>
      </c>
      <c r="AP13" s="909" t="str">
        <f>IF(ISNUMBER(Datos!CI13/Datos!CJ13),Datos!CI13/Datos!CJ13," - ")</f>
        <v xml:space="preserve"> - </v>
      </c>
      <c r="AQ13" s="927">
        <f t="shared" ref="AQ13:AV13" si="3">SUBTOTAL(9,AQ9:AQ12)</f>
        <v>0</v>
      </c>
      <c r="AR13" s="927">
        <f t="shared" si="3"/>
        <v>0.11507765882765883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6</v>
      </c>
      <c r="B16" s="506" t="s">
        <v>396</v>
      </c>
      <c r="C16" s="159" t="str">
        <f>Datos!A16</f>
        <v xml:space="preserve">Jdos. 1ª Instª. e Instr./Secc. Civil y de Inst. TI                      </v>
      </c>
      <c r="D16" s="501"/>
      <c r="E16" s="1167">
        <f>IF(ISNUMBER(Datos!AQ16),Datos!AQ16," - ")</f>
        <v>6</v>
      </c>
      <c r="F16" s="332">
        <f>IF(ISNUMBER(AA16+Y16-Datos!J16-K15),AA16+Y16-Datos!J16-K15," - ")</f>
        <v>3070</v>
      </c>
      <c r="G16" s="224">
        <f>IF(ISNUMBER(IF(D_I="SI",Datos!I16,Datos!I16+Datos!AC16)),IF(D_I="SI",Datos!I16,Datos!I16+Datos!AC16)," - ")</f>
        <v>3053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1411</v>
      </c>
      <c r="Z16" s="618">
        <f>IF(ISNUMBER(Datos!Q16),Datos!Q16," - ")</f>
        <v>22</v>
      </c>
      <c r="AA16" s="331">
        <f>IF(ISNUMBER(IF(D_I="SI",Datos!L16,Datos!L16+Datos!AF16)),IF(D_I="SI",Datos!L16,Datos!L16+Datos!AF16)," - ")</f>
        <v>3362</v>
      </c>
      <c r="AB16" s="333"/>
      <c r="AC16" s="333"/>
      <c r="AD16" s="483"/>
      <c r="AE16" s="483">
        <f>IF(ISNUMBER(Datos!R16),Datos!R16," - ")</f>
        <v>333</v>
      </c>
      <c r="AF16" s="228" t="str">
        <f>IF(ISNUMBER(Datos!BV16),Datos!BV16," - ")</f>
        <v xml:space="preserve"> - </v>
      </c>
      <c r="AG16" s="224"/>
      <c r="AH16" s="297"/>
      <c r="AI16" s="226"/>
      <c r="AJ16" s="224">
        <f>IF(ISNUMBER(Datos!M16),Datos!M16," - ")</f>
        <v>245</v>
      </c>
      <c r="AK16" s="228">
        <f>IF(ISNUMBER(Datos!N16),Datos!N16," - ")</f>
        <v>912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4.7654145995747701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80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4</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137</v>
      </c>
      <c r="Z17" s="618">
        <f>IF(ISNUMBER(Datos!Q17),Datos!Q17," - ")</f>
        <v>0</v>
      </c>
      <c r="AA17" s="331">
        <f>IF(ISNUMBER(Datos!L17),Datos!L17,"-")</f>
        <v>75</v>
      </c>
      <c r="AB17" s="333"/>
      <c r="AC17" s="333"/>
      <c r="AD17" s="483"/>
      <c r="AE17" s="483">
        <f>IF(ISNUMBER(Datos!R17),Datos!R17," - ")</f>
        <v>7</v>
      </c>
      <c r="AF17" s="228" t="str">
        <f>IF(ISNUMBER(Datos!BV17),Datos!BV17," - ")</f>
        <v xml:space="preserve"> - </v>
      </c>
      <c r="AG17" s="224" t="str">
        <f>IF(ISNUMBER(Datos!DV17),Datos!DV17," - ")</f>
        <v xml:space="preserve"> - </v>
      </c>
      <c r="AH17" s="297"/>
      <c r="AI17" s="226"/>
      <c r="AJ17" s="224">
        <f>IF(ISNUMBER(Datos!M17),Datos!M17," - ")</f>
        <v>22</v>
      </c>
      <c r="AK17" s="228">
        <f>IF(ISNUMBER(Datos!N17),Datos!N17," - ")</f>
        <v>81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1.0948905109489051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6</v>
      </c>
      <c r="F18" s="897">
        <f>SUBTOTAL(9,F15:F17)</f>
        <v>3070</v>
      </c>
      <c r="G18" s="897">
        <f>SUBTOTAL(9,G15:G17)</f>
        <v>3133</v>
      </c>
      <c r="H18" s="931">
        <f>SUBTOTAL(9,H15:H17)</f>
        <v>0</v>
      </c>
      <c r="I18" s="910">
        <f>SUBTOTAL(9,I15:I17)</f>
        <v>0</v>
      </c>
      <c r="J18" s="866">
        <f>SUBTOTAL(9,J14:J17)</f>
        <v>0</v>
      </c>
      <c r="K18" s="931">
        <f t="shared" ref="K18:S18" si="4">SUBTOTAL(9,K15:K17)</f>
        <v>0</v>
      </c>
      <c r="L18" s="931">
        <f t="shared" si="4"/>
        <v>0</v>
      </c>
      <c r="M18" s="931">
        <f t="shared" si="4"/>
        <v>0</v>
      </c>
      <c r="N18" s="931">
        <f t="shared" si="4"/>
        <v>41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1548</v>
      </c>
      <c r="Z18" s="931">
        <f t="shared" si="5"/>
        <v>22</v>
      </c>
      <c r="AA18" s="931">
        <f t="shared" si="5"/>
        <v>3437</v>
      </c>
      <c r="AB18" s="931">
        <f t="shared" si="5"/>
        <v>0</v>
      </c>
      <c r="AC18" s="931">
        <f t="shared" si="5"/>
        <v>0</v>
      </c>
      <c r="AD18" s="931">
        <f t="shared" si="5"/>
        <v>0</v>
      </c>
      <c r="AE18" s="931">
        <f t="shared" si="5"/>
        <v>340</v>
      </c>
      <c r="AF18" s="931">
        <f t="shared" si="5"/>
        <v>0</v>
      </c>
      <c r="AG18" s="931">
        <f t="shared" si="5"/>
        <v>0</v>
      </c>
      <c r="AH18" s="931">
        <f t="shared" si="5"/>
        <v>0</v>
      </c>
      <c r="AI18" s="931">
        <f t="shared" si="5"/>
        <v>0</v>
      </c>
      <c r="AJ18" s="931">
        <f t="shared" si="5"/>
        <v>267</v>
      </c>
      <c r="AK18" s="931">
        <f t="shared" si="5"/>
        <v>993</v>
      </c>
      <c r="AL18" s="931">
        <f t="shared" si="5"/>
        <v>0</v>
      </c>
      <c r="AM18" s="931">
        <f t="shared" si="5"/>
        <v>0</v>
      </c>
      <c r="AN18" s="931">
        <f t="shared" si="5"/>
        <v>0</v>
      </c>
      <c r="AO18" s="933">
        <f>IF(ISNUMBER(((NºAsuntos!I18/NºAsuntos!G18)*11)/factor_trimestre),((NºAsuntos!I18/NºAsuntos!G18)*11)/factor_trimestre," - ")</f>
        <v>4.4405684754521966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12</v>
      </c>
      <c r="F19" s="819">
        <f t="shared" si="7"/>
        <v>3177</v>
      </c>
      <c r="G19" s="819">
        <f t="shared" si="7"/>
        <v>3240</v>
      </c>
      <c r="H19" s="820">
        <f t="shared" si="7"/>
        <v>0</v>
      </c>
      <c r="I19" s="819">
        <f t="shared" si="7"/>
        <v>0</v>
      </c>
      <c r="J19" s="821">
        <f t="shared" si="7"/>
        <v>0</v>
      </c>
      <c r="K19" s="819">
        <f t="shared" si="7"/>
        <v>0</v>
      </c>
      <c r="L19" s="822">
        <f t="shared" si="7"/>
        <v>0</v>
      </c>
      <c r="M19" s="819">
        <f t="shared" si="7"/>
        <v>0</v>
      </c>
      <c r="N19" s="820">
        <f t="shared" si="7"/>
        <v>479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1568</v>
      </c>
      <c r="Z19" s="826">
        <f t="shared" si="8"/>
        <v>105</v>
      </c>
      <c r="AA19" s="827">
        <f t="shared" si="8"/>
        <v>3535</v>
      </c>
      <c r="AB19" s="827">
        <f t="shared" si="8"/>
        <v>0</v>
      </c>
      <c r="AC19" s="827">
        <f t="shared" si="8"/>
        <v>0</v>
      </c>
      <c r="AD19" s="828">
        <f t="shared" si="8"/>
        <v>0</v>
      </c>
      <c r="AE19" s="828">
        <f t="shared" si="8"/>
        <v>9038</v>
      </c>
      <c r="AF19" s="829">
        <f t="shared" si="8"/>
        <v>0</v>
      </c>
      <c r="AG19" s="830">
        <f t="shared" si="8"/>
        <v>0</v>
      </c>
      <c r="AH19" s="831">
        <f t="shared" si="8"/>
        <v>0</v>
      </c>
      <c r="AI19" s="829">
        <f t="shared" si="8"/>
        <v>0</v>
      </c>
      <c r="AJ19" s="819">
        <f t="shared" si="8"/>
        <v>701</v>
      </c>
      <c r="AK19" s="819">
        <f t="shared" si="8"/>
        <v>1516</v>
      </c>
      <c r="AL19" s="819">
        <f t="shared" si="8"/>
        <v>0</v>
      </c>
      <c r="AM19" s="832">
        <f t="shared" si="8"/>
        <v>0</v>
      </c>
      <c r="AN19" s="822">
        <f>IF(ISNUMBER(Datos!K19/Datos!J19),Datos!K19/Datos!J19," - ")</f>
        <v>0.96391752577319589</v>
      </c>
      <c r="AO19" s="822">
        <f>IF(ISNUMBER(FIND("06",Criterios!A8,1)),(IF(ISNUMBER(((Datos!R19/Datos!Q19)*11)/factor_trimestre),((Datos!R19/Datos!Q19)*11)/factor_trimestre," - ")),(IF(ISNUMBER(((Datos!L19/Datos!K19)*11)/factor_trimestre),((Datos!L19/Datos!K19)*11)/factor_trimestre," - ")))</f>
        <v>7.4303030303030306</v>
      </c>
      <c r="AP19" s="833" t="str">
        <f>IF(ISNUMBER(Datos!CI19/Datos!CJ19),Datos!CI19/Datos!CJ19," - ")</f>
        <v xml:space="preserve"> - </v>
      </c>
      <c r="AQ19" s="833">
        <f>IF(OR(ISNUMBER(FIND("01",Criterios!A8,1)),ISNUMBER(FIND("02",Criterios!A8,1)),ISNUMBER(FIND("03",Criterios!A8,1)),ISNUMBER(FIND("04",Criterios!A8,1))),(J19-Y19+K19)/(F19-K19),(I19-Y19+K19)/(F19-K19))</f>
        <v>-0.49354737173434055</v>
      </c>
      <c r="AR19" s="833">
        <f>IF(ISNUMBER((Datos!P19-Datos!Q19+O19)/(Datos!R19-Datos!P19+Datos!Q19-O19)),(Datos!P19-Datos!Q19+O19)/(Datos!R19-Datos!P19+Datos!Q19-O19)," - ")</f>
        <v>4.3167128347183746E-2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1296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1710.6888476088611</v>
      </c>
      <c r="G21" s="551">
        <f>IF(ISNUMBER(STDEV(G8:G18)),STDEV(G8:G18),"-")</f>
        <v>1640.7099073267036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185.70370665839349</v>
      </c>
      <c r="AK21" s="251"/>
      <c r="AL21" s="251">
        <f>IF(ISNUMBER(STDEV(AL8:AL18)),STDEV(AL8:AL18),"-")</f>
        <v>0</v>
      </c>
      <c r="AM21" s="253">
        <f>IF(ISNUMBER(STDEV(AM8:AM18)),STDEV(AM8:AM18),"-")</f>
        <v>0</v>
      </c>
      <c r="AN21" s="538">
        <f>IF(ISNUMBER(STDEV(AN8:AN18)),STDEV(AN8:AN18),"-")</f>
        <v>0</v>
      </c>
      <c r="AO21" s="539">
        <f>IF(ISNUMBER(STDEV(AO8:AO18)),STDEV(AO8:AO18),"-")</f>
        <v>4.0245454826443972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QPa3al9WgFyLKemPg5l/WcgCUBBcaUgLccpu1nRJueFlLHz8hlrpWUPqq3KGfA9ya9iUPN91BPGSs3B027yG/Q==" saltValue="/FgxrPdEA5n3d1R9ItuJ4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Y2ev5yXx1oDgGLLxKEB3lBrKFdUvU96UzxlLJoqVmzu/sMMXaJ9WZHB96y28Y1gG11LUqOvkGuUyVkss9PItdA==" saltValue="yk0hkmpCu8tHBOWqVZrip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DIT7H4u0hM5N+uz8w7/oFTB4I+VkXoE2MhGClm5M6WrG1YXH6guLrJ6NDUJ95BaKib7ipt1AddKuMH8rBk++Q==" saltValue="OxH5pqXLU63zQqImrthoa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VIC</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0.3250936329588015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0.22987591238573907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NI2wRhSerZ1pDqHSo8AEf1NcwdjzgSefhoWID0d/H9pEi0ZTut6M8Aps3AX8VHedJNHIl4cI/xp00n+sQ2sMIg==" saltValue="bpKpcgLSap2xTDzVVKETM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RudA5oitnh6Fjy/mIa1mfpNGLtxTG9E9fA44faYFQfVh/X5xMPsDDWk4lrdffcQw04aBFitedJLGbGWjC0LSbA==" saltValue="ESOlYDjKQa7zq+oH4bJy8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VIC</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107</v>
      </c>
      <c r="D10" s="403">
        <f>IF(ISNUMBER(C10/Datos!BH10),C10/Datos!BH10," - ")</f>
        <v>107</v>
      </c>
      <c r="E10" s="402">
        <f>IF(ISNUMBER(Datos!J10),Datos!J10," - ")</f>
        <v>11</v>
      </c>
      <c r="F10" s="403">
        <f>IF(ISNUMBER(E10/B10),E10/B10," - ")</f>
        <v>11</v>
      </c>
      <c r="G10" s="402">
        <f>IF(ISNUMBER(Datos!K10),Datos!K10," - ")</f>
        <v>20</v>
      </c>
      <c r="H10" s="403">
        <f>IF(ISNUMBER(G10/B10),G10/B10," - ")</f>
        <v>20</v>
      </c>
      <c r="I10" s="402">
        <f>IF(ISNUMBER(Datos!L10),Datos!L10," - ")</f>
        <v>98</v>
      </c>
      <c r="J10" s="403">
        <f>IF(ISNUMBER(I10/B10),I10/B10," - ")</f>
        <v>98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6</v>
      </c>
      <c r="C12" s="402">
        <f>IF(ISNUMBER(IF(J_V="SI",Datos!I12,Datos!I12+Datos!Y12)),IF(J_V="SI",Datos!I12,Datos!I12+Datos!Y12)," - ")</f>
        <v>7177</v>
      </c>
      <c r="D12" s="403">
        <f>IF(ISNUMBER(C12/Datos!BH12),C12/Datos!BH12," - ")</f>
        <v>1196.1666666666667</v>
      </c>
      <c r="E12" s="402">
        <f>IF(ISNUMBER(IF(J_V="SI",Datos!J12,Datos!J12+Datos!Z12)),IF(J_V="SI",Datos!J12,Datos!J12+Datos!Z12)," - ")</f>
        <v>1180</v>
      </c>
      <c r="F12" s="403">
        <f>IF(ISNUMBER(E12/B12),E12/B12," - ")</f>
        <v>196.66666666666666</v>
      </c>
      <c r="G12" s="402">
        <f>IF(ISNUMBER(IF(J_V="SI",Datos!K12,Datos!K12+Datos!AA12)),IF(J_V="SI",Datos!K12,Datos!K12+Datos!AA12)," - ")</f>
        <v>1315</v>
      </c>
      <c r="H12" s="403">
        <f>IF(ISNUMBER(G12/B12),G12/B12," - ")</f>
        <v>219.16666666666666</v>
      </c>
      <c r="I12" s="402">
        <f>IF(ISNUMBER(IF(J_V="SI",Datos!L12,Datos!L12+Datos!AB12)),IF(J_V="SI",Datos!L12,Datos!L12+Datos!AB12)," - ")</f>
        <v>7013</v>
      </c>
      <c r="J12" s="403">
        <f>IF(ISNUMBER(I12/B12),I12/B12," - ")</f>
        <v>1168.8333333333333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7284</v>
      </c>
      <c r="D13" s="849" t="str">
        <f>IF(ISNUMBER(C13/Datos!BI13),C13/Datos!BI13," - ")</f>
        <v xml:space="preserve"> - </v>
      </c>
      <c r="E13" s="848">
        <f>SUBTOTAL(9,E8:E12)</f>
        <v>1191</v>
      </c>
      <c r="F13" s="849">
        <f>IF(ISNUMBER(E13/B13),E13/B13," - ")</f>
        <v>198.5</v>
      </c>
      <c r="G13" s="848">
        <f>SUBTOTAL(9,G8:G12)</f>
        <v>1335</v>
      </c>
      <c r="H13" s="849">
        <f>IF(ISNUMBER(G13/B13),G13/B13," - ")</f>
        <v>222.5</v>
      </c>
      <c r="I13" s="848">
        <f>SUBTOTAL(9,I8:I12)</f>
        <v>7111</v>
      </c>
      <c r="J13" s="849">
        <f>IF(ISNUMBER(I13/B13),I13/B13," - ")</f>
        <v>1185.1666666666667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6</v>
      </c>
      <c r="C16" s="402">
        <f>IF(ISNUMBER(IF(D_I="SI",Datos!I16,Datos!I16+Datos!AC16)),IF(D_I="SI",Datos!I16,Datos!I16+Datos!AC16)," - ")</f>
        <v>3053</v>
      </c>
      <c r="D16" s="403">
        <f>IF(ISNUMBER(C16/Datos!BH16),C16/Datos!BH16," - ")</f>
        <v>508.83333333333331</v>
      </c>
      <c r="E16" s="402">
        <f>IF(ISNUMBER(IF(D_I="SI",Datos!J16,Datos!J16+Datos!AD16)),IF(D_I="SI",Datos!J16,Datos!J16+Datos!AD16)," - ")</f>
        <v>1703</v>
      </c>
      <c r="F16" s="403">
        <f>IF(ISNUMBER(E16/B16),E16/B16," - ")</f>
        <v>283.83333333333331</v>
      </c>
      <c r="G16" s="402">
        <f>IF(ISNUMBER(IF(D_I="SI",Datos!K16,Datos!K16+Datos!AE16)),IF(D_I="SI",Datos!K16,Datos!K16+Datos!AE16)," - ")</f>
        <v>1411</v>
      </c>
      <c r="H16" s="403">
        <f>IF(ISNUMBER(G16/B16),G16/B16," - ")</f>
        <v>235.16666666666666</v>
      </c>
      <c r="I16" s="402">
        <f>IF(ISNUMBER(IF(D_I="SI",Datos!L16,Datos!L16+Datos!AF16)),IF(D_I="SI",Datos!L16,Datos!L16+Datos!AF16)," - ")</f>
        <v>3362</v>
      </c>
      <c r="J16" s="403">
        <f>IF(ISNUMBER(I16/B16),I16/B16," - ")</f>
        <v>560.33333333333337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80</v>
      </c>
      <c r="D17" s="403">
        <f>IF(ISNUMBER(C17/Datos!BH17),C17/Datos!BH17," - ")</f>
        <v>80</v>
      </c>
      <c r="E17" s="402">
        <f>IF(ISNUMBER(IF(D_I="SI",Datos!J17,Datos!J17+Datos!AD17)),IF(D_I="SI",Datos!J17,Datos!J17+Datos!AD17)," - ")</f>
        <v>131</v>
      </c>
      <c r="F17" s="403">
        <f>IF(ISNUMBER(E17/B17),E17/B17," - ")</f>
        <v>131</v>
      </c>
      <c r="G17" s="402">
        <f>IF(ISNUMBER(IF(D_I="SI",Datos!K17,Datos!K17+Datos!AE17)),IF(D_I="SI",Datos!K17,Datos!K17+Datos!AE17)," - ")</f>
        <v>137</v>
      </c>
      <c r="H17" s="403">
        <f>IF(ISNUMBER(G17/B17),G17/B17," - ")</f>
        <v>137</v>
      </c>
      <c r="I17" s="402">
        <f>IF(ISNUMBER(IF(D_I="SI",Datos!L17,Datos!L17+Datos!AF17)),IF(D_I="SI",Datos!L17,Datos!L17+Datos!AF17)," - ")</f>
        <v>75</v>
      </c>
      <c r="J17" s="403">
        <f>IF(ISNUMBER(I17/B17),I17/B17," - ")</f>
        <v>75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3133</v>
      </c>
      <c r="D18" s="849" t="str">
        <f>IF(ISNUMBER(C18/Datos!BI18),C18/Datos!BI18," - ")</f>
        <v xml:space="preserve"> - </v>
      </c>
      <c r="E18" s="848">
        <f>SUBTOTAL(9,E14:E17)</f>
        <v>1834</v>
      </c>
      <c r="F18" s="849">
        <f>IF(ISNUMBER(E18/B18),E18/B18," - ")</f>
        <v>305.66666666666669</v>
      </c>
      <c r="G18" s="848">
        <f>SUBTOTAL(9,G14:G17)</f>
        <v>1548</v>
      </c>
      <c r="H18" s="849">
        <f>IF(ISNUMBER(G18/B18),G18/B18," - ")</f>
        <v>258</v>
      </c>
      <c r="I18" s="848">
        <f>SUBTOTAL(9,I14:I17)</f>
        <v>3437</v>
      </c>
      <c r="J18" s="849">
        <f>IF(ISNUMBER(I18/B18),I18/B18," - ")</f>
        <v>572.83333333333337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6</v>
      </c>
      <c r="C19" s="793">
        <f>SUBTOTAL(9,C9:C18)</f>
        <v>10417</v>
      </c>
      <c r="D19" s="794" t="str">
        <f>IF(ISNUMBER(C19/Datos!BI19),C19/Datos!BI19," - ")</f>
        <v xml:space="preserve"> - </v>
      </c>
      <c r="E19" s="793">
        <f>SUBTOTAL(9,E9:E18)</f>
        <v>3025</v>
      </c>
      <c r="F19" s="794">
        <f>IF(ISNUMBER(E19/B19),E19/B19," - ")</f>
        <v>504.16666666666669</v>
      </c>
      <c r="G19" s="793">
        <f>SUBTOTAL(9,G9:G18)</f>
        <v>2883</v>
      </c>
      <c r="H19" s="794">
        <f>IF(ISNUMBER(G19/B19),G19/B19," - ")</f>
        <v>480.5</v>
      </c>
      <c r="I19" s="793">
        <f>SUBTOTAL(9,I9:I18)</f>
        <v>10548</v>
      </c>
      <c r="J19" s="794">
        <f>IF(ISNUMBER(I19/B19),I19/B19," - ")</f>
        <v>1758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GrCQtEbuC6NTQbiAlVC/CFC0F2+43k20frBOpidYBLxa2mOQBof2JHrHUy6WZSTrCvixmDq27VE36yQbjp540w==" saltValue="CSjTr7TMgI8CaeY1AF/Vp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VIC</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107</v>
      </c>
      <c r="G10" s="683">
        <f>IF(ISNUMBER(Datos!I10),Datos!I10," - ")</f>
        <v>107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5</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20</v>
      </c>
      <c r="AC10" s="682" t="str">
        <f>IF(ISNUMBER(IF(D_I="SI",DatosP!K17,DatosP!K17+DatosP!AE17)),IF(D_I="SI",DatosP!K17,DatosP!K17+DatosP!AE17)," - ")</f>
        <v xml:space="preserve"> - </v>
      </c>
      <c r="AD10" s="684"/>
      <c r="AE10" s="684"/>
      <c r="AF10" s="687">
        <f>IF(ISNUMBER(Datos!L10),Datos!L10,"-")</f>
        <v>98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10</v>
      </c>
      <c r="AM10" s="689">
        <f>IF(ISNUMBER(Datos!N10+DatosP!N17),Datos!N10+DatosP!N17," - ")</f>
        <v>3</v>
      </c>
      <c r="AN10" s="689">
        <f>IF(ISNUMBER(Datos!BW10+DatosP!BW17),Datos!BW10+DatosP!BW17," - ")</f>
        <v>0</v>
      </c>
      <c r="AO10" s="690">
        <f>IF(ISNUMBER(Datos!BX10+DatosP!BX17),Datos!BX10+DatosP!BX17," - ")</f>
        <v>0</v>
      </c>
      <c r="AP10" s="692">
        <f>IF(ISNUMBER(((Datos!L10/Datos!K10)*11)/factor_trimestre),((Datos!L10/Datos!K10)*11)/factor_trimestre," - ")</f>
        <v>9.8000000000000007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6</v>
      </c>
      <c r="B12" s="506" t="s">
        <v>246</v>
      </c>
      <c r="C12" s="7" t="str">
        <f>Datos!A12</f>
        <v xml:space="preserve">Jdos. 1ª Instª. e Instr./Secc. Civil y de Inst. TI                      </v>
      </c>
      <c r="D12" s="507"/>
      <c r="E12" s="681">
        <f>IF(ISNUMBER(Datos!AQ12),Datos!AQ12," - ")</f>
        <v>6</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433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82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8639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424</v>
      </c>
      <c r="AM12" s="689">
        <f>IF(ISNUMBER(Datos!N12+DatosP!N16),Datos!N12+DatosP!N16," - ")</f>
        <v>520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10.666159695817491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4.2350386100386099E-2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107</v>
      </c>
      <c r="G13" s="937">
        <f t="shared" si="0"/>
        <v>107</v>
      </c>
      <c r="H13" s="937">
        <f t="shared" si="0"/>
        <v>0</v>
      </c>
      <c r="I13" s="939">
        <f t="shared" si="0"/>
        <v>0</v>
      </c>
      <c r="J13" s="938">
        <f t="shared" si="0"/>
        <v>0</v>
      </c>
      <c r="K13" s="938">
        <f t="shared" si="0"/>
        <v>0</v>
      </c>
      <c r="L13" s="940">
        <f t="shared" si="0"/>
        <v>0</v>
      </c>
      <c r="M13" s="940">
        <f t="shared" si="0"/>
        <v>0</v>
      </c>
      <c r="N13" s="938">
        <f t="shared" si="0"/>
        <v>438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20</v>
      </c>
      <c r="AC13" s="938">
        <f t="shared" si="1"/>
        <v>0</v>
      </c>
      <c r="AD13" s="938">
        <f t="shared" si="1"/>
        <v>82</v>
      </c>
      <c r="AE13" s="938">
        <f t="shared" si="1"/>
        <v>0</v>
      </c>
      <c r="AF13" s="938">
        <f t="shared" si="1"/>
        <v>98</v>
      </c>
      <c r="AG13" s="938">
        <f t="shared" si="1"/>
        <v>0</v>
      </c>
      <c r="AH13" s="938">
        <f t="shared" si="1"/>
        <v>8639</v>
      </c>
      <c r="AI13" s="938">
        <f t="shared" si="1"/>
        <v>0</v>
      </c>
      <c r="AJ13" s="938">
        <f t="shared" si="1"/>
        <v>0</v>
      </c>
      <c r="AK13" s="938">
        <f t="shared" si="1"/>
        <v>0</v>
      </c>
      <c r="AL13" s="938">
        <f t="shared" si="1"/>
        <v>434</v>
      </c>
      <c r="AM13" s="938">
        <f t="shared" si="1"/>
        <v>523</v>
      </c>
      <c r="AN13" s="938">
        <f t="shared" si="1"/>
        <v>0</v>
      </c>
      <c r="AO13" s="938">
        <f t="shared" si="1"/>
        <v>0</v>
      </c>
      <c r="AP13" s="943">
        <f>IF(ISNUMBER(((Datos!L13/Datos!K13)*11)/factor_trimestre),((Datos!L13/Datos!K13)*11)/factor_trimestre," - ")</f>
        <v>11.11217183770883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-0.18691588785046728</v>
      </c>
      <c r="AU13" s="938" t="str">
        <f>IF(ISNUMBER((DatosP!#REF!-DatosP!#REF!+DatosP!#REF!)/(DatosP!#REF!+DatosP!#REF!-DatosP!#REF!-DatosP!#REF!)),(DatosP!#REF!-DatosP!#REF!+DatosP!#REF!)/(DatosP!#REF!+DatosP!#REF!-DatosP!#REF!-DatosP!#REF!)," - ")</f>
        <v xml:space="preserve"> - </v>
      </c>
      <c r="AV13" s="944">
        <f>SUBTOTAL(9,AV9:AV12)</f>
        <v>4.2350386100386099E-2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6</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4.4405684754521966</v>
      </c>
      <c r="AQ18" s="943">
        <f>IF(ISNUMBER(((Datos!M18/Datos!L18)*11)/factor_trimestre),((Datos!M18/Datos!L18)*11)/factor_trimestre," - ")</f>
        <v>0.15536805353505964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5.9190031152647975E-2</v>
      </c>
      <c r="AW18" s="945">
        <f>IF(ISNUMBER((Datos!Q18-Datos!R18)/(Datos!S18-Datos!Q18+Datos!R18)),(Datos!Q18-Datos!R18)/(Datos!S18-Datos!Q18+Datos!R18)," - ")</f>
        <v>-9.8027127003699144E-2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107</v>
      </c>
      <c r="G19" s="950">
        <f t="shared" si="4"/>
        <v>107</v>
      </c>
      <c r="H19" s="950">
        <f t="shared" si="4"/>
        <v>0</v>
      </c>
      <c r="I19" s="951">
        <f t="shared" si="4"/>
        <v>0</v>
      </c>
      <c r="J19" s="952">
        <f t="shared" si="4"/>
        <v>0</v>
      </c>
      <c r="K19" s="952">
        <f t="shared" si="4"/>
        <v>0</v>
      </c>
      <c r="L19" s="952">
        <f t="shared" si="4"/>
        <v>0</v>
      </c>
      <c r="M19" s="952">
        <f t="shared" si="4"/>
        <v>0</v>
      </c>
      <c r="N19" s="951">
        <f t="shared" si="4"/>
        <v>438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20</v>
      </c>
      <c r="AC19" s="956">
        <f t="shared" si="5"/>
        <v>0</v>
      </c>
      <c r="AD19" s="956">
        <f t="shared" si="5"/>
        <v>82</v>
      </c>
      <c r="AE19" s="956">
        <f t="shared" si="5"/>
        <v>0</v>
      </c>
      <c r="AF19" s="957">
        <f t="shared" si="5"/>
        <v>98</v>
      </c>
      <c r="AG19" s="957">
        <f t="shared" si="5"/>
        <v>0</v>
      </c>
      <c r="AH19" s="957">
        <f t="shared" si="5"/>
        <v>8639</v>
      </c>
      <c r="AI19" s="957">
        <f t="shared" si="5"/>
        <v>0</v>
      </c>
      <c r="AJ19" s="958">
        <f t="shared" si="5"/>
        <v>0</v>
      </c>
      <c r="AK19" s="958">
        <f t="shared" si="5"/>
        <v>0</v>
      </c>
      <c r="AL19" s="950">
        <f t="shared" si="5"/>
        <v>434</v>
      </c>
      <c r="AM19" s="950">
        <f t="shared" si="5"/>
        <v>523</v>
      </c>
      <c r="AN19" s="950">
        <f t="shared" si="5"/>
        <v>0</v>
      </c>
      <c r="AO19" s="950">
        <f t="shared" si="5"/>
        <v>0</v>
      </c>
      <c r="AP19" s="950">
        <f>IF(ISNUMBER(((Datos!L19/Datos!K19)*11)/factor_trimestre),((Datos!L19/Datos!K19)*11)/factor_trimestre," - ")</f>
        <v>7.4303030303030306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-0.18691588785046728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4.3167128347183746E-2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71.333333333333329</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3.0983866769659336</v>
      </c>
      <c r="F21" s="735">
        <f>IF(ISNUMBER(STDEV(F8:F18)),STDEV(F8:F18),"-")</f>
        <v>61.776478803289955</v>
      </c>
      <c r="G21" s="736">
        <f>IF(ISNUMBER(STDEV(G8:G18)),STDEV(G8:G18),"-")</f>
        <v>61.776478803289955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11.547005383792515</v>
      </c>
      <c r="AC21" s="737">
        <f>IF(ISNUMBER(STDEV(AC8:AC18)),STDEV(AC8:AC18),"-")</f>
        <v>0</v>
      </c>
      <c r="AD21" s="740"/>
      <c r="AE21" s="740"/>
      <c r="AF21" s="740"/>
      <c r="AG21" s="740"/>
      <c r="AH21" s="740"/>
      <c r="AI21" s="740"/>
      <c r="AJ21" s="741">
        <f>IF(ISNUMBER(STDEV(AJ8:AJ18)),STDEV(AJ8:AJ18),"-")</f>
        <v>0</v>
      </c>
      <c r="AK21" s="743"/>
      <c r="AL21" s="735">
        <f>IF(ISNUMBER(STDEV(AL8:AL18)),STDEV(AL8:AL18),"-")</f>
        <v>244.86458842933305</v>
      </c>
      <c r="AM21" s="735"/>
      <c r="AN21" s="735">
        <f>IF(ISNUMBER(STDEV(AN8:AN18)),STDEV(AN8:AN18),"-")</f>
        <v>0</v>
      </c>
      <c r="AO21" s="741">
        <f>IF(ISNUMBER(STDEV(AO8:AO18)),STDEV(AO8:AO18),"-")</f>
        <v>0</v>
      </c>
      <c r="AP21" s="778">
        <f>IF(ISNUMBER(STDEV(AP8:AP18)),STDEV(AP8:AP18),"-")</f>
        <v>3.0911532113669375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nDx9OUgssoOP9dZlTp3z76wNV+/VvpoRWxZdXfmKV2lQ1slrYjJ5uX1sTsgKIsHqqg48sUVq1gCTF6psqDbMmQ==" saltValue="4x03hXNhfv7uXSTwTNX8t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BARCELONA</v>
      </c>
      <c r="C3" s="414"/>
      <c r="F3" s="374"/>
      <c r="G3" s="374"/>
      <c r="H3" s="374"/>
    </row>
    <row r="4" spans="1:15" ht="13.5" thickBot="1">
      <c r="A4" s="374"/>
      <c r="B4" s="390" t="str">
        <f>Criterios!A11 &amp;"  "&amp;Criterios!B11</f>
        <v>Resumenes por Partidos Judiciales  VIC</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6</v>
      </c>
      <c r="D12" s="402">
        <f>Datos!BK12</f>
        <v>0</v>
      </c>
      <c r="E12" s="402">
        <f>Datos!AQ12</f>
        <v>6</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6</v>
      </c>
      <c r="D16" s="402">
        <f>Datos!BK16</f>
        <v>0</v>
      </c>
      <c r="E16" s="402">
        <f>Datos!AQ16</f>
        <v>6</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TL/EsSmuC4LKA2xDZXTIefBguPOOyO9H1d3CXfGUvmauF0cdzV2IXb0vcXW8c2C6zVu2beEy+TDiWvqjtDClsw==" saltValue="HK186fAsXSpNEJRFm7+J7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VIC</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10</v>
      </c>
      <c r="E10" s="403">
        <f>IF(ISNUMBER(D10/B10),D10/B10," - ")</f>
        <v>10</v>
      </c>
      <c r="F10" s="402">
        <f>IF(ISNUMBER(Datos!N10),Datos!N10," - ")</f>
        <v>3</v>
      </c>
      <c r="G10" s="403">
        <f>IF(ISNUMBER(F10/B10),F10/B10," - ")</f>
        <v>3</v>
      </c>
      <c r="H10" s="402">
        <f>IF(ISNUMBER(Datos!O10),Datos!O10," - ")</f>
        <v>8</v>
      </c>
      <c r="I10" s="403">
        <f t="shared" ref="I10:I12" si="2">IF(ISNUMBER(H10/B10),H10/B10," - ")</f>
        <v>8</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6</v>
      </c>
      <c r="C12" s="409">
        <f>Datos!AQ12</f>
        <v>6</v>
      </c>
      <c r="D12" s="402">
        <f>IF(ISNUMBER(Datos!M12),Datos!M12," - ")</f>
        <v>424</v>
      </c>
      <c r="E12" s="403">
        <f t="shared" si="0"/>
        <v>70.666666666666671</v>
      </c>
      <c r="F12" s="402">
        <f>IF(ISNUMBER(Datos!N12),Datos!N12," - ")</f>
        <v>520</v>
      </c>
      <c r="G12" s="403">
        <f t="shared" si="1"/>
        <v>86.666666666666671</v>
      </c>
      <c r="H12" s="402">
        <f>IF(ISNUMBER(Datos!O12),Datos!O12," - ")</f>
        <v>434</v>
      </c>
      <c r="I12" s="403">
        <f t="shared" si="2"/>
        <v>72.333333333333329</v>
      </c>
      <c r="BZ12" s="1185">
        <f>Datos!EZ12</f>
        <v>0</v>
      </c>
    </row>
    <row r="13" spans="1:78" ht="14.25" thickTop="1" thickBot="1">
      <c r="A13" s="847" t="str">
        <f>Datos!A13</f>
        <v>TOTAL</v>
      </c>
      <c r="B13" s="848">
        <f>Datos!AP13</f>
        <v>6</v>
      </c>
      <c r="C13" s="850">
        <f>Datos!AR13</f>
        <v>6</v>
      </c>
      <c r="D13" s="848">
        <f>SUBTOTAL(9,D9:D12)</f>
        <v>434</v>
      </c>
      <c r="E13" s="849">
        <f t="shared" si="0"/>
        <v>72.333333333333329</v>
      </c>
      <c r="F13" s="848">
        <f>SUBTOTAL(9,F9:F12)</f>
        <v>523</v>
      </c>
      <c r="G13" s="849">
        <f t="shared" si="1"/>
        <v>87.166666666666671</v>
      </c>
      <c r="H13" s="848">
        <f>SUBTOTAL(9,H9:H12)</f>
        <v>442</v>
      </c>
      <c r="I13" s="849">
        <f>IF(ISNUMBER(H13/B13),H13/B13," - ")</f>
        <v>73.666666666666671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6</v>
      </c>
      <c r="C16" s="427">
        <f>Datos!AQ16</f>
        <v>6</v>
      </c>
      <c r="D16" s="402">
        <f>IF(ISNUMBER(Datos!M16),Datos!M16," - ")</f>
        <v>245</v>
      </c>
      <c r="E16" s="403">
        <f t="shared" si="3"/>
        <v>40.833333333333336</v>
      </c>
      <c r="F16" s="402">
        <f>IF(ISNUMBER(Datos!N16),Datos!N16," - ")</f>
        <v>912</v>
      </c>
      <c r="G16" s="403">
        <f t="shared" si="4"/>
        <v>152</v>
      </c>
      <c r="H16" s="402">
        <f>IF(ISNUMBER(Datos!O16),Datos!O16," - ")</f>
        <v>11</v>
      </c>
      <c r="I16" s="403">
        <f t="shared" si="5"/>
        <v>1.8333333333333333</v>
      </c>
      <c r="BZ16" s="1185">
        <f>Datos!EZ16</f>
        <v>0</v>
      </c>
    </row>
    <row r="17" spans="1:78" ht="13.5" thickBot="1">
      <c r="A17" s="401" t="str">
        <f>Datos!A17</f>
        <v>Jdos. Violencia contra la mujer/Secc Viol. TI.</v>
      </c>
      <c r="B17" s="426">
        <f>Datos!AO17</f>
        <v>1</v>
      </c>
      <c r="C17" s="427">
        <f>Datos!AQ17</f>
        <v>0</v>
      </c>
      <c r="D17" s="402">
        <f>IF(ISNUMBER(Datos!M17),Datos!M17," - ")</f>
        <v>22</v>
      </c>
      <c r="E17" s="403">
        <f>IF(ISNUMBER(D17/B17),D17/B17," - ")</f>
        <v>22</v>
      </c>
      <c r="F17" s="402">
        <f>IF(ISNUMBER(Datos!N17),Datos!N17," - ")</f>
        <v>81</v>
      </c>
      <c r="G17" s="403">
        <f>IF(ISNUMBER(F17/B17),F17/B17," - ")</f>
        <v>81</v>
      </c>
      <c r="H17" s="402">
        <f>IF(ISNUMBER(Datos!O17),Datos!O17," - ")</f>
        <v>0</v>
      </c>
      <c r="I17" s="403">
        <f t="shared" si="5"/>
        <v>0</v>
      </c>
      <c r="BZ17" s="1185">
        <f>Datos!EZ17</f>
        <v>0</v>
      </c>
    </row>
    <row r="18" spans="1:78" ht="14.25" thickTop="1" thickBot="1">
      <c r="A18" s="847" t="str">
        <f>Datos!A18</f>
        <v>TOTAL</v>
      </c>
      <c r="B18" s="848">
        <f>Datos!AP18</f>
        <v>6</v>
      </c>
      <c r="C18" s="850">
        <f>Datos!AR18</f>
        <v>6</v>
      </c>
      <c r="D18" s="848">
        <f>SUBTOTAL(9,D15:D17)</f>
        <v>267</v>
      </c>
      <c r="E18" s="849">
        <f t="shared" si="3"/>
        <v>44.5</v>
      </c>
      <c r="F18" s="848">
        <f>SUBTOTAL(9,F15:F17)</f>
        <v>993</v>
      </c>
      <c r="G18" s="849">
        <f t="shared" si="4"/>
        <v>165.5</v>
      </c>
      <c r="H18" s="848">
        <f>SUBTOTAL(9,H15:H17)</f>
        <v>11</v>
      </c>
      <c r="I18" s="849">
        <f>IF(ISNUMBER(H18/B18),H18/B18," - ")</f>
        <v>1.8333333333333333</v>
      </c>
      <c r="BZ18" s="1185"/>
    </row>
    <row r="19" spans="1:78" ht="14.25" thickTop="1" thickBot="1">
      <c r="A19" s="792" t="str">
        <f>Datos!A19</f>
        <v>TOTAL JURISDICCIONES</v>
      </c>
      <c r="B19" s="793">
        <f>Datos!AP19</f>
        <v>6</v>
      </c>
      <c r="C19" s="793">
        <f>Datos!AR19</f>
        <v>6</v>
      </c>
      <c r="D19" s="793">
        <f>SUBTOTAL(9,D8:D18)</f>
        <v>701</v>
      </c>
      <c r="E19" s="794">
        <f>IF(ISNUMBER(D19/B19),D19/B19," - ")</f>
        <v>116.83333333333333</v>
      </c>
      <c r="F19" s="793">
        <f>SUBTOTAL(9,F8:F18)</f>
        <v>1516</v>
      </c>
      <c r="G19" s="794">
        <f>IF(ISNUMBER(F19/B19),F19/B19," - ")</f>
        <v>252.66666666666666</v>
      </c>
      <c r="H19" s="793">
        <f>SUBTOTAL(9,H8:H18)</f>
        <v>453</v>
      </c>
      <c r="I19" s="794">
        <f>IF(ISNUMBER(H19/B19),H19/B19," - ")</f>
        <v>75.5</v>
      </c>
    </row>
    <row r="22" spans="1:78">
      <c r="A22" s="390" t="str">
        <f>Criterios!A4</f>
        <v>Fecha Informe: 09 dic. 2025</v>
      </c>
    </row>
    <row r="27" spans="1:78">
      <c r="A27" s="413"/>
    </row>
  </sheetData>
  <sheetProtection algorithmName="SHA-512" hashValue="npV2r06QvYZCeAO8oNZuXCVItnKocdX3WifK5lsfNExQsAHua41hBN6+8MG1vvfKBjqP1OWgjENFXemTHQ/SJg==" saltValue="BTxe2JcF7PY6ngzBoT0x3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VIC</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5</v>
      </c>
      <c r="C10" s="433">
        <f>IF(ISNUMBER(Datos!Q10),Datos!Q10," - ")</f>
        <v>1</v>
      </c>
      <c r="D10" s="407">
        <f>IF(ISNUMBER(Datos!R10),Datos!R10," - ")</f>
        <v>59</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433</v>
      </c>
      <c r="C12" s="433">
        <f>IF(ISNUMBER(Datos!Q12),Datos!Q12," - ")</f>
        <v>82</v>
      </c>
      <c r="D12" s="407">
        <f>IF(ISNUMBER(Datos!R12),Datos!R12," - ")</f>
        <v>8639</v>
      </c>
    </row>
    <row r="13" spans="1:4" ht="14.25" thickTop="1" thickBot="1">
      <c r="A13" s="847" t="str">
        <f>Datos!A13</f>
        <v>TOTAL</v>
      </c>
      <c r="B13" s="848">
        <f>SUBTOTAL(9,B9:B12)</f>
        <v>438</v>
      </c>
      <c r="C13" s="852">
        <f>SUBTOTAL(9,C9:C12)</f>
        <v>83</v>
      </c>
      <c r="D13" s="850">
        <f>SUBTOTAL(9,D9:D12)</f>
        <v>8698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37</v>
      </c>
      <c r="C16" s="433">
        <f>IF(ISNUMBER(Datos!Q16),Datos!Q16," - ")</f>
        <v>22</v>
      </c>
      <c r="D16" s="407">
        <f>IF(ISNUMBER(Datos!R16),Datos!R16," - ")</f>
        <v>333</v>
      </c>
    </row>
    <row r="17" spans="1:4" ht="13.5" thickBot="1">
      <c r="A17" s="401" t="str">
        <f>Datos!A17</f>
        <v>Jdos. Violencia contra la mujer/Secc Viol. TI.</v>
      </c>
      <c r="B17" s="432">
        <f>IF(ISNUMBER(Datos!P17),Datos!P17," - ")</f>
        <v>4</v>
      </c>
      <c r="C17" s="433">
        <f>IF(ISNUMBER(Datos!Q17),Datos!Q17," - ")</f>
        <v>0</v>
      </c>
      <c r="D17" s="407">
        <f>IF(ISNUMBER(Datos!R17),Datos!R17," - ")</f>
        <v>7</v>
      </c>
    </row>
    <row r="18" spans="1:4" ht="14.25" thickTop="1" thickBot="1">
      <c r="A18" s="847" t="str">
        <f>Datos!A18</f>
        <v>TOTAL</v>
      </c>
      <c r="B18" s="848">
        <f>SUBTOTAL(9,B15:B17)</f>
        <v>41</v>
      </c>
      <c r="C18" s="852">
        <f>SUBTOTAL(9,C15:C17)</f>
        <v>22</v>
      </c>
      <c r="D18" s="850">
        <f>SUBTOTAL(9,D15:D17)</f>
        <v>340</v>
      </c>
    </row>
    <row r="19" spans="1:4" ht="16.5" customHeight="1" thickTop="1" thickBot="1">
      <c r="A19" s="792" t="str">
        <f>Datos!A19</f>
        <v>TOTAL JURISDICCIONES</v>
      </c>
      <c r="B19" s="797">
        <f>SUBTOTAL(9,B8:B18)</f>
        <v>479</v>
      </c>
      <c r="C19" s="798">
        <f>SUBTOTAL(9,C8:C18)</f>
        <v>105</v>
      </c>
      <c r="D19" s="799">
        <f>SUBTOTAL(9,D8:D18)</f>
        <v>9038</v>
      </c>
    </row>
    <row r="20" spans="1:4" ht="7.5" customHeight="1"/>
    <row r="21" spans="1:4" ht="6" customHeight="1"/>
    <row r="22" spans="1:4">
      <c r="A22" s="390" t="str">
        <f>Criterios!A4</f>
        <v>Fecha Informe: 09 dic. 2025</v>
      </c>
    </row>
    <row r="27" spans="1:4">
      <c r="A27" s="413"/>
    </row>
  </sheetData>
  <sheetProtection algorithmName="SHA-512" hashValue="3jAi6+zdow4kqe07T76ET6RUmNHcvHSVeumr8GEOidjjgFMRwWTFl01TmZB+FHTLAokEuA2TZ9yu1T8LMFRsyA==" saltValue="U2F7KA4vXPEEmg5+XwgC4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VIC</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0.17582417582417584</v>
      </c>
      <c r="C10" s="455">
        <f>IF(ISNUMBER((Datos!J10-Datos!T10)/Datos!T10),(Datos!J10-Datos!T10)/Datos!T10," - ")</f>
        <v>-0.47619047619047616</v>
      </c>
      <c r="D10" s="455">
        <f>IF(ISNUMBER((Datos!K10-Datos!U10)/Datos!U10),(Datos!K10-Datos!U10)/Datos!U10," - ")</f>
        <v>0.33333333333333331</v>
      </c>
      <c r="E10" s="455">
        <f>IF(ISNUMBER((Datos!L10-Datos!V10)/Datos!V10),(Datos!L10-Datos!V10)/Datos!V10," - ")</f>
        <v>1.0309278350515464E-2</v>
      </c>
      <c r="F10" s="455">
        <f>IF(ISNUMBER((Datos!M10-Datos!W10)/Datos!W10),(Datos!M10-Datos!W10)/Datos!W10," - ")</f>
        <v>2.3333333333333335</v>
      </c>
      <c r="G10" s="456">
        <f>IF(ISNUMBER((Datos!N10-Datos!X10)/Datos!X10),(Datos!N10-Datos!X10)/Datos!X10," - ")</f>
        <v>-0.4</v>
      </c>
      <c r="H10" s="454">
        <f>IF(ISNUMBER(((NºAsuntos!G10/NºAsuntos!E10)-Datos!BD10)/Datos!BD10),((NºAsuntos!G10/NºAsuntos!E10)-Datos!BD10)/Datos!BD10," - ")</f>
        <v>1.5454545454545454</v>
      </c>
      <c r="I10" s="455">
        <f>IF(ISNUMBER(((NºAsuntos!I10/NºAsuntos!G10)-Datos!BE10)/Datos!BE10),((NºAsuntos!I10/NºAsuntos!G10)-Datos!BE10)/Datos!BE10," - ")</f>
        <v>-0.24226804123711337</v>
      </c>
      <c r="J10" s="460">
        <f>IF(ISNUMBER((('Resol  Asuntos'!D10/NºAsuntos!G10)-Datos!BF10)/Datos!BF10),(('Resol  Asuntos'!D10/NºAsuntos!G10)-Datos!BF10)/Datos!BF10," - ")</f>
        <v>1.4999999999999998</v>
      </c>
      <c r="K10" s="461">
        <f>IF(ISNUMBER((((NºAsuntos!C10+NºAsuntos!E10)/NºAsuntos!G10)-Datos!BG10)/Datos!BG10),(((NºAsuntos!C10+NºAsuntos!E10)/NºAsuntos!G10)-Datos!BG10)/Datos!BG10," - ")</f>
        <v>-0.20982142857142855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0.14630250758664751</v>
      </c>
      <c r="C12" s="455">
        <f>IF(ISNUMBER(
   IF(J_V="SI",(Datos!J12-Datos!T12)/Datos!T12,(Datos!J12+Datos!Z12-(Datos!T12+Datos!AH12))/(Datos!T12+Datos!AH12))
     ),IF(J_V="SI",(Datos!J12-Datos!T12)/Datos!T12,(Datos!J12+Datos!Z12-(Datos!T12+Datos!AH12))/(Datos!T12+Datos!AH12))," - ")</f>
        <v>-0.22009253139458029</v>
      </c>
      <c r="D12" s="455">
        <f>IF(ISNUMBER(
   IF(J_V="SI",(Datos!K12-Datos!U12)/Datos!U12,(Datos!K12+Datos!AA12-(Datos!U12+Datos!AI12))/(Datos!U12+Datos!AI12))
     ),IF(J_V="SI",(Datos!K12-Datos!U12)/Datos!U12,(Datos!K12+Datos!AA12-(Datos!U12+Datos!AI12))/(Datos!U12+Datos!AI12))," - ")</f>
        <v>0.15452151009657594</v>
      </c>
      <c r="E12" s="455">
        <f>IF(ISNUMBER(
   IF(J_V="SI",(Datos!L12-Datos!V12)/Datos!V12,(Datos!L12+Datos!AB12-(Datos!V12+Datos!AJ12))/(Datos!V12+Datos!AJ12))
     ),IF(J_V="SI",(Datos!L12-Datos!V12)/Datos!V12,(Datos!L12+Datos!AB12-(Datos!V12+Datos!AJ12))/(Datos!V12+Datos!AJ12))," - ")</f>
        <v>5.6652101853246949E-2</v>
      </c>
      <c r="F12" s="455">
        <f>IF(ISNUMBER((Datos!M12-Datos!W12)/Datos!W12),(Datos!M12-Datos!W12)/Datos!W12," - ")</f>
        <v>0.95391705069124422</v>
      </c>
      <c r="G12" s="456">
        <f>IF(ISNUMBER((Datos!N12-Datos!X12)/Datos!X12),(Datos!N12-Datos!X12)/Datos!X12," - ")</f>
        <v>0.15044247787610621</v>
      </c>
      <c r="H12" s="454">
        <f>IF(ISNUMBER(((NºAsuntos!G12/NºAsuntos!E12)-Datos!BD12)/Datos!BD12),((NºAsuntos!G12/NºAsuntos!E12)-Datos!BD12)/Datos!BD12," - ")</f>
        <v>0.48033139387806728</v>
      </c>
      <c r="I12" s="455">
        <f>IF(ISNUMBER(((NºAsuntos!I12/NºAsuntos!G12)-Datos!BE12)/Datos!BE12),((NºAsuntos!I12/NºAsuntos!G12)-Datos!BE12)/Datos!BE12," - ")</f>
        <v>-8.4770536873879643E-2</v>
      </c>
      <c r="J12" s="460">
        <f>IF(ISNUMBER((('Resol  Asuntos'!D12/NºAsuntos!G12)-Datos!BF12)/Datos!BF12),(('Resol  Asuntos'!D12/NºAsuntos!G12)-Datos!BF12)/Datos!BF12," - ")</f>
        <v>-0.18749621454288504</v>
      </c>
      <c r="K12" s="461">
        <f>IF(ISNUMBER((((NºAsuntos!C12+NºAsuntos!E12)/NºAsuntos!G12)-Datos!BG12)/Datos!BG12),(((NºAsuntos!C12+NºAsuntos!E12)/NºAsuntos!G12)-Datos!BG12)/Datos!BG12," - ")</f>
        <v>-6.8883897871524463E-2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0.14672544080604533</v>
      </c>
      <c r="C13" s="854">
        <f>IF(ISNUMBER(
   IF(J_V="SI",(Datos!J13-Datos!T13)/Datos!T13,(Datos!J13+Datos!Z13-(Datos!T13+Datos!AH13))/(Datos!T13+Datos!AH13))
     ),IF(J_V="SI",(Datos!J13-Datos!T13)/Datos!T13,(Datos!J13+Datos!Z13-(Datos!T13+Datos!AH13))/(Datos!T13+Datos!AH13))," - ")</f>
        <v>-0.22359843546284225</v>
      </c>
      <c r="D13" s="854">
        <f>IF(ISNUMBER(
   IF(J_V="SI",(Datos!K13-Datos!U13)/Datos!U13,(Datos!K13+Datos!AA13-(Datos!U13+Datos!AI13))/(Datos!U13+Datos!AI13))
     ),IF(J_V="SI",(Datos!K13-Datos!U13)/Datos!U13,(Datos!K13+Datos!AA13-(Datos!U13+Datos!AI13))/(Datos!U13+Datos!AI13))," - ")</f>
        <v>0.15684575389948008</v>
      </c>
      <c r="E13" s="854">
        <f>IF(ISNUMBER(
   IF(J_V="SI",(Datos!L13-Datos!V13)/Datos!V13,(Datos!L13+Datos!AB13-(Datos!V13+Datos!AJ13))/(Datos!V13+Datos!AJ13))
     ),IF(J_V="SI",(Datos!L13-Datos!V13)/Datos!V13,(Datos!L13+Datos!AB13-(Datos!V13+Datos!AJ13))/(Datos!V13+Datos!AJ13))," - ")</f>
        <v>5.5984555984555984E-2</v>
      </c>
      <c r="F13" s="855">
        <f>IF(ISNUMBER((Datos!M13-Datos!W13)/Datos!W13),(Datos!M13-Datos!W13)/Datos!W13," - ")</f>
        <v>0.97272727272727277</v>
      </c>
      <c r="G13" s="856">
        <f>IF(ISNUMBER((Datos!N13-Datos!X13)/Datos!X13),(Datos!N13-Datos!X13)/Datos!X13," - ")</f>
        <v>0.14442013129102846</v>
      </c>
      <c r="H13" s="856">
        <f>IF(ISNUMBER(((NºAsuntos!G13/NºAsuntos!E13)-Datos!BD13)/Datos!BD13),((NºAsuntos!G13/NºAsuntos!E13)-Datos!BD13)/Datos!BD13," - ")</f>
        <v>0.49000956043812133</v>
      </c>
      <c r="I13" s="856">
        <f>IF(ISNUMBER(((NºAsuntos!I13/NºAsuntos!G13)-Datos!BE13)/Datos!BE13),((NºAsuntos!I13/NºAsuntos!G13)-Datos!BE13)/Datos!BE13," - ")</f>
        <v>-8.718638381559729E-2</v>
      </c>
      <c r="J13" s="856">
        <f>IF(ISNUMBER((('Resol  Asuntos'!D13/NºAsuntos!G13)-Datos!BF13)/Datos!BF13),(('Resol  Asuntos'!D13/NºAsuntos!G13)-Datos!BF13)/Datos!BF13," - ")</f>
        <v>-0.17547680783635838</v>
      </c>
      <c r="K13" s="856">
        <f>IF(ISNUMBER((((NºAsuntos!C13+NºAsuntos!E13)/NºAsuntos!G13)-Datos!BG13)/Datos!BG13),(((NºAsuntos!C13+NºAsuntos!E13)/NºAsuntos!G13)-Datos!BG13)/Datos!BG13," - ")</f>
        <v>-7.101761904897598E-2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9.2698639942734432E-2</v>
      </c>
      <c r="C16" s="455">
        <f>IF(ISNUMBER(
   IF(D_I="SI",(Datos!J16-Datos!T16)/Datos!T16,(Datos!J16+Datos!AD16-(Datos!T16+Datos!AL16))/(Datos!T16+Datos!AL16))
     ),IF(D_I="SI",(Datos!J16-Datos!T16)/Datos!T16,(Datos!J16+Datos!AD16-(Datos!T16+Datos!AL16))/(Datos!T16+Datos!AL16))," - ")</f>
        <v>-6.2740781507980181E-2</v>
      </c>
      <c r="D16" s="455">
        <f>IF(ISNUMBER(
   IF(D_I="SI",(Datos!K16-Datos!U16)/Datos!U16,(Datos!K16+Datos!AE16-(Datos!U16+Datos!AM16))/(Datos!U16+Datos!AM16))
     ),IF(D_I="SI",(Datos!K16-Datos!U16)/Datos!U16,(Datos!K16+Datos!AE16-(Datos!U16+Datos!AM16))/(Datos!U16+Datos!AM16))," - ")</f>
        <v>3.9793662490788501E-2</v>
      </c>
      <c r="E16" s="455">
        <f>IF(ISNUMBER(
   IF(D_I="SI",(Datos!L16-Datos!V16)/Datos!V16,(Datos!L16+Datos!AF16-(Datos!V16+Datos!AN16))/(Datos!V16+Datos!AN16))
     ),IF(D_I="SI",(Datos!L16-Datos!V16)/Datos!V16,(Datos!L16+Datos!AF16-(Datos!V16+Datos!AN16))/(Datos!V16+Datos!AN16))," - ")</f>
        <v>2.9078665442301806E-2</v>
      </c>
      <c r="F16" s="455">
        <f>IF(ISNUMBER((Datos!M16-Datos!W16)/Datos!W16),(Datos!M16-Datos!W16)/Datos!W16," - ")</f>
        <v>2.0833333333333332E-2</v>
      </c>
      <c r="G16" s="456">
        <f>IF(ISNUMBER((Datos!N16-Datos!X16)/Datos!X16),(Datos!N16-Datos!X16)/Datos!X16," - ")</f>
        <v>9.8795180722891562E-2</v>
      </c>
      <c r="H16" s="454">
        <f>IF(ISNUMBER(((NºAsuntos!G16/NºAsuntos!E16)-Datos!BD16)/Datos!BD16),((NºAsuntos!G16/NºAsuntos!E16)-Datos!BD16)/Datos!BD16," - ")</f>
        <v>0.10939817072563875</v>
      </c>
      <c r="I16" s="455">
        <f>IF(ISNUMBER(((NºAsuntos!I16/NºAsuntos!G16)-Datos!BE16)/Datos!BE16),((NºAsuntos!I16/NºAsuntos!G16)-Datos!BE16)/Datos!BE16," - ")</f>
        <v>-1.0304926289720937E-2</v>
      </c>
      <c r="J16" s="460">
        <f>IF(ISNUMBER((('Resol  Asuntos'!D16/NºAsuntos!G16)-Datos!BF16)/Datos!BF16),(('Resol  Asuntos'!D16/NºAsuntos!G16)-Datos!BF16)/Datos!BF16," - ")</f>
        <v>-1.8234703519962127E-2</v>
      </c>
      <c r="K16" s="461">
        <f>IF(ISNUMBER((((NºAsuntos!C16+NºAsuntos!E16)/NºAsuntos!G16)-Datos!BG16)/Datos!BG16),(((NºAsuntos!C16+NºAsuntos!E16)/NºAsuntos!G16)-Datos!BG16)/Datos!BG16," - ")</f>
        <v>-8.0276711730384222E-3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-0.39393939393939392</v>
      </c>
      <c r="C17" s="455">
        <f>IF(ISNUMBER(
   IF(D_I="SI",(Datos!J17-Datos!T17)/Datos!T17,(Datos!J17+Datos!AD17-(Datos!T17+Datos!AL17))/(Datos!T17+Datos!AL17))
     ),IF(D_I="SI",(Datos!J17-Datos!T17)/Datos!T17,(Datos!J17+Datos!AD17-(Datos!T17+Datos!AL17))/(Datos!T17+Datos!AL17))," - ")</f>
        <v>1.5503875968992248E-2</v>
      </c>
      <c r="D17" s="455">
        <f>IF(ISNUMBER(
   IF(D_I="SI",(Datos!K17-Datos!U17)/Datos!U17,(Datos!K17+Datos!AE17-(Datos!U17+Datos!AM17))/(Datos!U17+Datos!AM17))
     ),IF(D_I="SI",(Datos!K17-Datos!U17)/Datos!U17,(Datos!K17+Datos!AE17-(Datos!U17+Datos!AM17))/(Datos!U17+Datos!AM17))," - ")</f>
        <v>-4.8611111111111112E-2</v>
      </c>
      <c r="E17" s="455">
        <f>IF(ISNUMBER(
   IF(D_I="SI",(Datos!L17-Datos!V17)/Datos!V17,(Datos!L17+Datos!AF17-(Datos!V17+Datos!AN17))/(Datos!V17+Datos!AN17))
     ),IF(D_I="SI",(Datos!L17-Datos!V17)/Datos!V17,(Datos!L17+Datos!AF17-(Datos!V17+Datos!AN17))/(Datos!V17+Datos!AN17))," - ")</f>
        <v>-0.35897435897435898</v>
      </c>
      <c r="F17" s="455">
        <f>IF(ISNUMBER((Datos!M17-Datos!W17)/Datos!W17),(Datos!M17-Datos!W17)/Datos!W17," - ")</f>
        <v>0.5714285714285714</v>
      </c>
      <c r="G17" s="456">
        <f>IF(ISNUMBER((Datos!N17-Datos!X17)/Datos!X17),(Datos!N17-Datos!X17)/Datos!X17," - ")</f>
        <v>-0.14736842105263157</v>
      </c>
      <c r="H17" s="454">
        <f>IF(ISNUMBER(((NºAsuntos!G17/NºAsuntos!E17)-Datos!BD17)/Datos!BD17),((NºAsuntos!G17/NºAsuntos!E17)-Datos!BD17)/Datos!BD17," - ")</f>
        <v>-6.3136132315521551E-2</v>
      </c>
      <c r="I17" s="455">
        <f>IF(ISNUMBER(((NºAsuntos!I17/NºAsuntos!G17)-Datos!BE17)/Datos!BE17),((NºAsuntos!I17/NºAsuntos!G17)-Datos!BE17)/Datos!BE17," - ")</f>
        <v>-0.32622122403144299</v>
      </c>
      <c r="J17" s="460">
        <f>IF(ISNUMBER((('Resol  Asuntos'!D17/NºAsuntos!G17)-Datos!BF17)/Datos!BF17),(('Resol  Asuntos'!D17/NºAsuntos!G17)-Datos!BF17)/Datos!BF17," - ")</f>
        <v>0.65172054223149112</v>
      </c>
      <c r="K17" s="461">
        <f>IF(ISNUMBER((((NºAsuntos!C17+NºAsuntos!E17)/NºAsuntos!G17)-Datos!BG17)/Datos!BG17),(((NºAsuntos!C17+NºAsuntos!E17)/NºAsuntos!G17)-Datos!BG17)/Datos!BG17," - ")</f>
        <v>-0.15026428391643593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7.0745044429254958E-2</v>
      </c>
      <c r="C18" s="854">
        <f>IF(ISNUMBER(
   IF(Criterios!B14="SI",(Datos!J18-Datos!T18)/Datos!T18,(Datos!J18+Datos!AD18-(Datos!T18+Datos!AL18))/(Datos!T18+Datos!AL18))
     ),IF(Criterios!B14="SI",(Datos!J18-Datos!T18)/Datos!T18,(Datos!J18+Datos!AD18-(Datos!T18+Datos!AL18))/(Datos!T18+Datos!AL18))," - ")</f>
        <v>-5.7553956834532377E-2</v>
      </c>
      <c r="D18" s="854">
        <f>IF(ISNUMBER(
   IF(Criterios!B14="SI",(Datos!K18-Datos!U18)/Datos!U18,(Datos!K18+Datos!AE18-(Datos!U18+Datos!AM18))/(Datos!U18+Datos!AM18))
     ),IF(Criterios!B14="SI",(Datos!K18-Datos!U18)/Datos!U18,(Datos!K18+Datos!AE18-(Datos!U18+Datos!AM18))/(Datos!U18+Datos!AM18))," - ")</f>
        <v>3.1312458361092602E-2</v>
      </c>
      <c r="E18" s="854">
        <f>IF(ISNUMBER(
   IF(Criterios!B14="SI",(Datos!L18-Datos!V18)/Datos!V18,(Datos!L18+Datos!AF18-(Datos!V18+Datos!AN18))/(Datos!V18+Datos!AN18))
     ),IF(Criterios!B14="SI",(Datos!L18-Datos!V18)/Datos!V18,(Datos!L18+Datos!AF18-(Datos!V18+Datos!AN18))/(Datos!V18+Datos!AN18))," - ")</f>
        <v>1.5661938534278958E-2</v>
      </c>
      <c r="F18" s="855">
        <f>IF(ISNUMBER((Datos!M18-Datos!W18)/Datos!W18),(Datos!M18-Datos!W18)/Datos!W18," - ")</f>
        <v>5.1181102362204724E-2</v>
      </c>
      <c r="G18" s="856">
        <f>IF(ISNUMBER((Datos!N18-Datos!X18)/Datos!X18),(Datos!N18-Datos!X18)/Datos!X18," - ")</f>
        <v>7.3513513513513512E-2</v>
      </c>
      <c r="H18" s="856">
        <f>IF(ISNUMBER(((NºAsuntos!G18/NºAsuntos!E18)-Datos!BD18)/Datos!BD18),((NºAsuntos!G18/NºAsuntos!E18)-Datos!BD18)/Datos!BD18," - ")</f>
        <v>9.4293371848792981E-2</v>
      </c>
      <c r="I18" s="856">
        <f>IF(ISNUMBER(((NºAsuntos!I18/NºAsuntos!G18)-Datos!BE18)/Datos!BE18),((NºAsuntos!I18/NºAsuntos!G18)-Datos!BE18)/Datos!BE18," - ")</f>
        <v>-1.517534254525018E-2</v>
      </c>
      <c r="J18" s="856">
        <f>IF(ISNUMBER((('Resol  Asuntos'!D18/NºAsuntos!G18)-Datos!BF18)/Datos!BF18),(('Resol  Asuntos'!D18/NºAsuntos!G18)-Datos!BF18)/Datos!BF18," - ")</f>
        <v>1.9265397057925848E-2</v>
      </c>
      <c r="K18" s="856">
        <f>IF(ISNUMBER((((NºAsuntos!C18+NºAsuntos!E18)/NºAsuntos!G18)-Datos!BG18)/Datos!BG18),(((NºAsuntos!C18+NºAsuntos!E18)/NºAsuntos!G18)-Datos!BG18)/Datos!BG18," - ")</f>
        <v>-1.1454607460020371E-2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0.12276352662211684</v>
      </c>
      <c r="C19" s="801">
        <f>IF(ISNUMBER(
   IF(J_V="SI",(Datos!J19-Datos!T19)/Datos!T19,(Datos!J19+Datos!Z19-(Datos!T19+Datos!AH19))/(Datos!T19+Datos!AH19))
     ),IF(J_V="SI",(Datos!J19-Datos!T19)/Datos!T19,(Datos!J19+Datos!Z19-(Datos!T19+Datos!AH19))/(Datos!T19+Datos!AH19))," - ")</f>
        <v>-0.1307471264367816</v>
      </c>
      <c r="D19" s="801">
        <f>IF(ISNUMBER(
   IF(J_V="SI",(Datos!K19-Datos!U19)/Datos!U19,(Datos!K19+Datos!AA19-(Datos!U19+Datos!AI19))/(Datos!U19+Datos!AI19))
     ),IF(J_V="SI",(Datos!K19-Datos!U19)/Datos!U19,(Datos!K19+Datos!AA19-(Datos!U19+Datos!AI19))/(Datos!U19+Datos!AI19))," - ")</f>
        <v>8.5875706214689262E-2</v>
      </c>
      <c r="E19" s="801">
        <f>IF(ISNUMBER(
   IF(J_V="SI",(Datos!L19-Datos!V19)/Datos!V19,(Datos!L19+Datos!AB19-(Datos!V19+Datos!AJ19))/(Datos!V19+Datos!AJ19))
     ),IF(J_V="SI",(Datos!L19-Datos!V19)/Datos!V19,(Datos!L19+Datos!AB19-(Datos!V19+Datos!AJ19))/(Datos!V19+Datos!AJ19))," - ")</f>
        <v>4.2498517493575805E-2</v>
      </c>
      <c r="F19" s="802">
        <f>IF(ISNUMBER((Datos!M19-Datos!W19)/Datos!W19),(Datos!M19-Datos!W19)/Datos!W19," - ")</f>
        <v>0.47890295358649787</v>
      </c>
      <c r="G19" s="803">
        <f>IF(ISNUMBER((Datos!N19-Datos!X19)/Datos!X19),(Datos!N19-Datos!X19)/Datos!X19," - ")</f>
        <v>9.6960926193921854E-2</v>
      </c>
      <c r="H19" s="804">
        <f>IF(ISNUMBER((Tasas!B19-Datos!BD19)/Datos!BD19),(Tasas!B19-Datos!BD19)/Datos!BD19," - ")</f>
        <v>0.24920577111640282</v>
      </c>
      <c r="I19" s="805">
        <f>IF(ISNUMBER((Tasas!C19-Datos!BE19)/Datos!BE19),(Tasas!C19-Datos!BE19)/Datos!BE19," - ")</f>
        <v>-3.9946734670328193E-2</v>
      </c>
      <c r="J19" s="806">
        <f>IF(ISNUMBER((Tasas!D19-Datos!BF19)/Datos!BF19),(Tasas!D19-Datos!BF19)/Datos!BF19," - ")</f>
        <v>-8.9475437697861135E-2</v>
      </c>
      <c r="K19" s="806">
        <f>IF(ISNUMBER((Tasas!E19-Datos!BG19)/Datos!BG19),(Tasas!E19-Datos!BG19)/Datos!BG19," - ")</f>
        <v>-2.9710847198118069E-2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rFhOU75G0jSWc/VLv+g0Jt7BcYpOwh2eOGxS89RMNAj4t6jHRfqGgsh+LnCCcCFoHHdH2KkCJRu6jWJ8FSHMOA==" saltValue="BzwbiAViQLZd+cGKwYmes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VIC</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1.8181818181818181</v>
      </c>
      <c r="C10" s="442">
        <f>IF(ISNUMBER(NºAsuntos!I10/NºAsuntos!G10),NºAsuntos!I10/NºAsuntos!G10," - ")</f>
        <v>4.9000000000000004</v>
      </c>
      <c r="D10" s="443">
        <f>IF(ISNUMBER('Resol  Asuntos'!D10/NºAsuntos!G10),'Resol  Asuntos'!D10/NºAsuntos!G10," - ")</f>
        <v>0.5</v>
      </c>
      <c r="E10" s="444">
        <f>IF(ISNUMBER((NºAsuntos!C10+NºAsuntos!E10)/NºAsuntos!G10),(NºAsuntos!C10+NºAsuntos!E10)/NºAsuntos!G10," - ")</f>
        <v>5.9</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1.1144067796610169</v>
      </c>
      <c r="C12" s="442">
        <f>IF(ISNUMBER(NºAsuntos!I12/NºAsuntos!G12),NºAsuntos!I12/NºAsuntos!G12," - ")</f>
        <v>5.3330798479087456</v>
      </c>
      <c r="D12" s="443">
        <f>IF(ISNUMBER('Resol  Asuntos'!D12/NºAsuntos!G12),'Resol  Asuntos'!D12/NºAsuntos!G12," - ")</f>
        <v>0.32243346007604562</v>
      </c>
      <c r="E12" s="444">
        <f>IF(ISNUMBER((NºAsuntos!C12+NºAsuntos!E12)/NºAsuntos!G12),(NºAsuntos!C12+NºAsuntos!E12)/NºAsuntos!G12," - ")</f>
        <v>6.3551330798479091</v>
      </c>
      <c r="G12" s="462"/>
    </row>
    <row r="13" spans="1:7" ht="14.25" thickTop="1" thickBot="1">
      <c r="A13" s="847" t="str">
        <f>Datos!A13</f>
        <v>TOTAL</v>
      </c>
      <c r="B13" s="857">
        <f>IF(ISNUMBER(NºAsuntos!G13/NºAsuntos!E13),NºAsuntos!G13/NºAsuntos!E13," - ")</f>
        <v>1.1209068010075567</v>
      </c>
      <c r="C13" s="858">
        <f>IF(ISNUMBER(NºAsuntos!I13/NºAsuntos!G13),NºAsuntos!I13/NºAsuntos!G13," - ")</f>
        <v>5.3265917602996256</v>
      </c>
      <c r="D13" s="859">
        <f>IF(ISNUMBER('Resol  Asuntos'!D13/NºAsuntos!G13),'Resol  Asuntos'!D13/NºAsuntos!G13," - ")</f>
        <v>0.3250936329588015</v>
      </c>
      <c r="E13" s="860">
        <f>IF(ISNUMBER((NºAsuntos!C13+NºAsuntos!E13)/NºAsuntos!G13),(NºAsuntos!C13+NºAsuntos!E13)/NºAsuntos!G13," - ")</f>
        <v>6.3483146067415728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0.82853787433940107</v>
      </c>
      <c r="C16" s="442">
        <f>IF(ISNUMBER(NºAsuntos!I16/NºAsuntos!G16),NºAsuntos!I16/NºAsuntos!G16," - ")</f>
        <v>2.382707299787385</v>
      </c>
      <c r="D16" s="443">
        <f>IF(ISNUMBER('Resol  Asuntos'!D16/NºAsuntos!G16),'Resol  Asuntos'!D16/NºAsuntos!G16," - ")</f>
        <v>0.17363571934798017</v>
      </c>
      <c r="E16" s="444">
        <f>IF(ISNUMBER((NºAsuntos!C16+NºAsuntos!E16)/NºAsuntos!G16),(NºAsuntos!C16+NºAsuntos!E16)/NºAsuntos!G16," - ")</f>
        <v>3.3706591070163006</v>
      </c>
      <c r="G16" s="462"/>
    </row>
    <row r="17" spans="1:7" ht="21.75" thickBot="1">
      <c r="A17" s="401" t="str">
        <f>Datos!A17</f>
        <v>Jdos. Violencia contra la mujer/Secc Viol. TI.</v>
      </c>
      <c r="B17" s="441">
        <f>IF(ISNUMBER(NºAsuntos!G17/NºAsuntos!E17),NºAsuntos!G17/NºAsuntos!E17," - ")</f>
        <v>1.0458015267175573</v>
      </c>
      <c r="C17" s="442">
        <f>IF(ISNUMBER(NºAsuntos!I17/NºAsuntos!G17),NºAsuntos!I17/NºAsuntos!G17," - ")</f>
        <v>0.54744525547445255</v>
      </c>
      <c r="D17" s="443">
        <f>IF(ISNUMBER('Resol  Asuntos'!D17/NºAsuntos!G17),'Resol  Asuntos'!D17/NºAsuntos!G17," - ")</f>
        <v>0.16058394160583941</v>
      </c>
      <c r="E17" s="444">
        <f>IF(ISNUMBER((NºAsuntos!C17+NºAsuntos!E17)/NºAsuntos!G17),(NºAsuntos!C17+NºAsuntos!E17)/NºAsuntos!G17," - ")</f>
        <v>1.5401459854014599</v>
      </c>
      <c r="G17" s="462"/>
    </row>
    <row r="18" spans="1:7" ht="14.25" thickTop="1" thickBot="1">
      <c r="A18" s="847" t="str">
        <f>Datos!A18</f>
        <v>TOTAL</v>
      </c>
      <c r="B18" s="857">
        <f>IF(ISNUMBER(NºAsuntos!G18/NºAsuntos!E18),NºAsuntos!G18/NºAsuntos!E18," - ")</f>
        <v>0.84405670665212651</v>
      </c>
      <c r="C18" s="858">
        <f>IF(ISNUMBER(NºAsuntos!I18/NºAsuntos!G18),NºAsuntos!I18/NºAsuntos!G18," - ")</f>
        <v>2.2202842377260983</v>
      </c>
      <c r="D18" s="861">
        <f>IF(ISNUMBER('Resol  Asuntos'!D18/NºAsuntos!G18),'Resol  Asuntos'!D18/NºAsuntos!G18," - ")</f>
        <v>0.17248062015503876</v>
      </c>
      <c r="E18" s="860">
        <f>IF(ISNUMBER((NºAsuntos!C18+NºAsuntos!E18)/NºAsuntos!G18),(NºAsuntos!C18+NºAsuntos!E18)/NºAsuntos!G18," - ")</f>
        <v>3.2086563307493541</v>
      </c>
      <c r="G18" s="462"/>
    </row>
    <row r="19" spans="1:7" ht="15.75" customHeight="1" thickTop="1" thickBot="1">
      <c r="A19" s="792" t="str">
        <f>Datos!A19</f>
        <v>TOTAL JURISDICCIONES</v>
      </c>
      <c r="B19" s="807">
        <f>IF(ISNUMBER(NºAsuntos!G19/NºAsuntos!E19),NºAsuntos!G19/NºAsuntos!E19," - ")</f>
        <v>0.95305785123966946</v>
      </c>
      <c r="C19" s="808">
        <f>IF(ISNUMBER(NºAsuntos!I19/NºAsuntos!G19),NºAsuntos!I19/NºAsuntos!G19," - ")</f>
        <v>3.6586888657648284</v>
      </c>
      <c r="D19" s="809">
        <f>IF(ISNUMBER('Resol  Asuntos'!D19/NºAsuntos!G19),'Resol  Asuntos'!D19/NºAsuntos!G19," - ")</f>
        <v>0.24314949705168226</v>
      </c>
      <c r="E19" s="810">
        <f>IF(ISNUMBER((NºAsuntos!C19+NºAsuntos!E19)/NºAsuntos!G19),(NºAsuntos!C19+NºAsuntos!E19)/NºAsuntos!G19," - ")</f>
        <v>4.6625043357613594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wgDh0PQZMvqZ40TULIojxj55seK0sAelNFJWoZmk+3r4LHk9UeepGvd7Fo0VzPDaZnw/wU2FnCXNZp6Y1HQw6A==" saltValue="EzaF9fKZJGzsUWGPvNnm/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VIC</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107</v>
      </c>
      <c r="G10" s="332">
        <f>IF(ISNUMBER(Datos!I10),Datos!I10," - ")</f>
        <v>107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20</v>
      </c>
      <c r="X10" s="225">
        <f>IF(ISNUMBER(Datos!Q10),Datos!Q10," - ")</f>
        <v>1</v>
      </c>
      <c r="Y10" s="333">
        <f t="shared" ref="Y10:Y12" si="0">SUM(W10:X10)</f>
        <v>21</v>
      </c>
      <c r="Z10" s="334" t="str">
        <f>IF(ISNUMBER(Datos!CC10),Datos!CC10," - ")</f>
        <v xml:space="preserve"> - </v>
      </c>
      <c r="AA10" s="331">
        <f>IF(ISNUMBER(Datos!L10),Datos!L10,"-")</f>
        <v>98</v>
      </c>
      <c r="AB10" s="333">
        <f>IF(ISNUMBER(Datos!R10),Datos!R10," - ")</f>
        <v>59</v>
      </c>
      <c r="AC10" s="333">
        <f t="shared" ref="AC10:AC12" si="1">IF(ISNUMBER(AA10+AB10),AA10+AB10," - ")</f>
        <v>157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10</v>
      </c>
      <c r="AJ10" s="230" t="str">
        <f>IF(ISNUMBER(Datos!BW10),Datos!BW10," - ")</f>
        <v xml:space="preserve"> - </v>
      </c>
      <c r="AK10" s="231" t="str">
        <f>IF(ISNUMBER(Datos!BX10),Datos!BX10," - ")</f>
        <v xml:space="preserve"> - </v>
      </c>
      <c r="AL10" s="242">
        <f>IF(ISNUMBER(NºAsuntos!G10/NºAsuntos!E10),NºAsuntos!G10/NºAsuntos!E10," - ")</f>
        <v>1.8181818181818181</v>
      </c>
      <c r="AM10" s="259">
        <f>IF(ISNUMBER(((NºAsuntos!I10/NºAsuntos!G10)*11)/factor_trimestre),((NºAsuntos!I10/NºAsuntos!G10)*11)/factor_trimestre," - ")</f>
        <v>9.8000000000000007</v>
      </c>
      <c r="AN10" s="243">
        <f>IF(ISNUMBER('Resol  Asuntos'!D10/NºAsuntos!G10),'Resol  Asuntos'!D10/NºAsuntos!G10," - ")</f>
        <v>0.5</v>
      </c>
      <c r="AO10" s="244">
        <f>IF(ISNUMBER((NºAsuntos!C10+NºAsuntos!E10)/NºAsuntos!G10),(NºAsuntos!C10+NºAsuntos!E10)/NºAsuntos!G10," - ")</f>
        <v>5.9</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6</v>
      </c>
      <c r="B12" s="274" t="s">
        <v>246</v>
      </c>
      <c r="C12" s="7" t="str">
        <f>Datos!A12</f>
        <v xml:space="preserve">Jdos. 1ª Instª. e Instr./Secc. Civil y de Inst. TI                      </v>
      </c>
      <c r="D12" s="7"/>
      <c r="E12" s="1024">
        <f>IF(ISNUMBER(Datos!AQ12),Datos!AQ12," - ")</f>
        <v>6</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433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82</v>
      </c>
      <c r="Y12" s="333">
        <f t="shared" si="0"/>
        <v>82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8639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424</v>
      </c>
      <c r="AJ12" s="228" t="str">
        <f>IF(ISNUMBER(Datos!BW12),Datos!BW12," - ")</f>
        <v xml:space="preserve"> - </v>
      </c>
      <c r="AK12" s="227" t="str">
        <f>IF(ISNUMBER(Datos!BX12),Datos!BX12," - ")</f>
        <v xml:space="preserve"> - </v>
      </c>
      <c r="AL12" s="242">
        <f>IF(ISNUMBER(NºAsuntos!G12/NºAsuntos!E12),NºAsuntos!G12/NºAsuntos!E12," - ")</f>
        <v>1.1144067796610169</v>
      </c>
      <c r="AM12" s="259">
        <f>IF(ISNUMBER(((NºAsuntos!I12/NºAsuntos!G12)*11)/factor_trimestre),((NºAsuntos!I12/NºAsuntos!G12)*11)/factor_trimestre," - ")</f>
        <v>10.666159695817491</v>
      </c>
      <c r="AN12" s="243">
        <f>IF(ISNUMBER('Resol  Asuntos'!D12/NºAsuntos!G12),'Resol  Asuntos'!D12/NºAsuntos!G12," - ")</f>
        <v>0.32243346007604562</v>
      </c>
      <c r="AO12" s="244">
        <f>IF(ISNUMBER((NºAsuntos!C12+NºAsuntos!E12)/NºAsuntos!G12),(NºAsuntos!C12+NºAsuntos!E12)/NºAsuntos!G12," - ")</f>
        <v>6.3551330798479091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107</v>
      </c>
      <c r="G13" s="865">
        <f t="shared" si="3"/>
        <v>107</v>
      </c>
      <c r="H13" s="864">
        <f t="shared" si="3"/>
        <v>0</v>
      </c>
      <c r="I13" s="866">
        <f t="shared" si="3"/>
        <v>0</v>
      </c>
      <c r="J13" s="866">
        <f t="shared" si="3"/>
        <v>0</v>
      </c>
      <c r="K13" s="866">
        <f t="shared" si="3"/>
        <v>0</v>
      </c>
      <c r="L13" s="866">
        <f t="shared" si="3"/>
        <v>438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20</v>
      </c>
      <c r="X13" s="866">
        <f t="shared" si="4"/>
        <v>83</v>
      </c>
      <c r="Y13" s="867">
        <f t="shared" si="4"/>
        <v>103</v>
      </c>
      <c r="Z13" s="867">
        <f t="shared" si="4"/>
        <v>0</v>
      </c>
      <c r="AA13" s="867">
        <f t="shared" si="4"/>
        <v>98</v>
      </c>
      <c r="AB13" s="867">
        <f t="shared" si="4"/>
        <v>8698</v>
      </c>
      <c r="AC13" s="867">
        <f t="shared" si="4"/>
        <v>157</v>
      </c>
      <c r="AD13" s="867">
        <f t="shared" si="4"/>
        <v>0</v>
      </c>
      <c r="AE13" s="871">
        <f t="shared" si="4"/>
        <v>0</v>
      </c>
      <c r="AF13" s="864">
        <f t="shared" si="4"/>
        <v>0</v>
      </c>
      <c r="AG13" s="872">
        <f t="shared" si="4"/>
        <v>0</v>
      </c>
      <c r="AH13" s="869">
        <f t="shared" si="4"/>
        <v>0</v>
      </c>
      <c r="AI13" s="864">
        <f t="shared" si="4"/>
        <v>434</v>
      </c>
      <c r="AJ13" s="866">
        <f t="shared" si="4"/>
        <v>0</v>
      </c>
      <c r="AK13" s="869">
        <f>SUBTOTAL(9,AK9:AK12)</f>
        <v>0</v>
      </c>
      <c r="AL13" s="873">
        <f>IF(ISNUMBER(NºAsuntos!G13/NºAsuntos!E13),NºAsuntos!G13/NºAsuntos!E13," - ")</f>
        <v>1.1209068010075567</v>
      </c>
      <c r="AM13" s="873">
        <f>IF(ISNUMBER(((NºAsuntos!I13/NºAsuntos!G13)*11)/factor_trimestre),((NºAsuntos!I13/NºAsuntos!G13)*11)/factor_trimestre," - ")</f>
        <v>10.653183520599251</v>
      </c>
      <c r="AN13" s="874">
        <f>IF(ISNUMBER('Resol  Asuntos'!D13/NºAsuntos!G13),'Resol  Asuntos'!D13/NºAsuntos!G13," - ")</f>
        <v>0.3250936329588015</v>
      </c>
      <c r="AO13" s="875">
        <f>IF(ISNUMBER((NºAsuntos!C13+NºAsuntos!E13)/NºAsuntos!G13),(NºAsuntos!C13+NºAsuntos!E13)/NºAsuntos!G13," - ")</f>
        <v>6.3483146067415728</v>
      </c>
      <c r="AP13" s="876" t="str">
        <f t="shared" si="2"/>
        <v xml:space="preserve"> - </v>
      </c>
      <c r="AQ13" s="876">
        <f>IF(ISNUMBER((H13-W13+K13)/(F13)),(H13-W13+K13)/(F13)," - ")</f>
        <v>-0.18691588785046728</v>
      </c>
      <c r="AR13" s="877">
        <f>IF(ISNUMBER((Datos!P13-Datos!Q13)/(Datos!R13-Datos!P13+Datos!Q13)),(Datos!P13-Datos!Q13)/(Datos!R13-Datos!P13+Datos!Q13)," - ")</f>
        <v>4.2550641256142871E-2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6</v>
      </c>
      <c r="B16" s="274" t="s">
        <v>396</v>
      </c>
      <c r="C16" s="159" t="str">
        <f>Datos!A16</f>
        <v xml:space="preserve">Jdos. 1ª Instª. e Instr./Secc. Civil y de Inst. TI                      </v>
      </c>
      <c r="D16" s="159"/>
      <c r="E16" s="1024">
        <f>IF(ISNUMBER(Datos!AQ16),Datos!AQ16," - ")</f>
        <v>6</v>
      </c>
      <c r="F16" s="224">
        <f>IF(ISNUMBER(AA16+W16-Datos!J16-K16),AA16+W16-Datos!J16-K16," - ")</f>
        <v>3070</v>
      </c>
      <c r="G16" s="332">
        <f>IF(ISNUMBER(IF(D_I="SI",Datos!I16,Datos!I16+Datos!AC16)),IF(D_I="SI",Datos!I16,Datos!I16+Datos!AC16)," - ")</f>
        <v>3053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1411</v>
      </c>
      <c r="X16" s="225">
        <f>IF(ISNUMBER(Datos!Q16),Datos!Q16," - ")</f>
        <v>22</v>
      </c>
      <c r="Y16" s="333">
        <f t="shared" ref="Y16:Y17" si="7">SUM(W16:X16)</f>
        <v>1433</v>
      </c>
      <c r="Z16" s="334" t="str">
        <f>IF(ISNUMBER(Datos!CC16),Datos!CC16," - ")</f>
        <v xml:space="preserve"> - </v>
      </c>
      <c r="AA16" s="331">
        <f>IF(ISNUMBER(IF(D_I="SI",Datos!L16,Datos!L16+Datos!AF16)),IF(D_I="SI",Datos!L16,Datos!L16+Datos!AF16)," - ")</f>
        <v>3362</v>
      </c>
      <c r="AB16" s="333">
        <f>IF(ISNUMBER(Datos!R16),Datos!R16," - ")</f>
        <v>333</v>
      </c>
      <c r="AC16" s="333">
        <f t="shared" si="6"/>
        <v>3695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245</v>
      </c>
      <c r="AJ16" s="230" t="str">
        <f>IF(ISNUMBER(Datos!BW16),Datos!BW16," - ")</f>
        <v xml:space="preserve"> - </v>
      </c>
      <c r="AK16" s="231" t="str">
        <f>IF(ISNUMBER(Datos!BX16),Datos!BX16," - ")</f>
        <v xml:space="preserve"> - </v>
      </c>
      <c r="AL16" s="242">
        <f>IF(ISNUMBER(NºAsuntos!G16/NºAsuntos!E16),NºAsuntos!G16/NºAsuntos!E16," - ")</f>
        <v>0.82853787433940107</v>
      </c>
      <c r="AM16" s="259">
        <f>IF(ISNUMBER(((NºAsuntos!I16/NºAsuntos!G16)*11)/factor_trimestre),((NºAsuntos!I16/NºAsuntos!G16)*11)/factor_trimestre," - ")</f>
        <v>4.7654145995747701</v>
      </c>
      <c r="AN16" s="243">
        <f>IF(ISNUMBER('Resol  Asuntos'!D16/NºAsuntos!G16),'Resol  Asuntos'!D16/NºAsuntos!G16," - ")</f>
        <v>0.17363571934798017</v>
      </c>
      <c r="AO16" s="244">
        <f>IF(ISNUMBER((NºAsuntos!C16+NºAsuntos!E16)/NºAsuntos!G16),(NºAsuntos!C16+NºAsuntos!E16)/NºAsuntos!G16," - ")</f>
        <v>3.3706591070163006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80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137</v>
      </c>
      <c r="X17" s="225">
        <f>IF(ISNUMBER(Datos!Q17),Datos!Q17," - ")</f>
        <v>0</v>
      </c>
      <c r="Y17" s="333">
        <f t="shared" si="7"/>
        <v>137</v>
      </c>
      <c r="Z17" s="334" t="str">
        <f>IF(ISNUMBER(Datos!CC17),Datos!CC17," - ")</f>
        <v xml:space="preserve"> - </v>
      </c>
      <c r="AA17" s="331">
        <f>IF(ISNUMBER(Datos!L17),Datos!L17,"-")</f>
        <v>75</v>
      </c>
      <c r="AB17" s="333">
        <f>IF(ISNUMBER(Datos!R17),Datos!R17," - ")</f>
        <v>7</v>
      </c>
      <c r="AC17" s="333">
        <f t="shared" si="6"/>
        <v>82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22</v>
      </c>
      <c r="AJ17" s="230" t="str">
        <f>IF(ISNUMBER(Datos!BW17),Datos!BW17," - ")</f>
        <v xml:space="preserve"> - </v>
      </c>
      <c r="AK17" s="231" t="str">
        <f>IF(ISNUMBER(Datos!BX17),Datos!BX17," - ")</f>
        <v xml:space="preserve"> - </v>
      </c>
      <c r="AL17" s="242">
        <f>IF(ISNUMBER(NºAsuntos!G17/NºAsuntos!E17),NºAsuntos!G17/NºAsuntos!E17," - ")</f>
        <v>1.0458015267175573</v>
      </c>
      <c r="AM17" s="259">
        <f>IF(ISNUMBER(((NºAsuntos!I17/NºAsuntos!G17)*11)/factor_trimestre),((NºAsuntos!I17/NºAsuntos!G17)*11)/factor_trimestre," - ")</f>
        <v>1.0948905109489051</v>
      </c>
      <c r="AN17" s="243">
        <f>IF(ISNUMBER('Resol  Asuntos'!D17/NºAsuntos!G17),'Resol  Asuntos'!D17/NºAsuntos!G17," - ")</f>
        <v>0.16058394160583941</v>
      </c>
      <c r="AO17" s="244">
        <f>IF(ISNUMBER((NºAsuntos!C17+NºAsuntos!E17)/NºAsuntos!G17),(NºAsuntos!C17+NºAsuntos!E17)/NºAsuntos!G17," - ")</f>
        <v>1.5401459854014599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3070</v>
      </c>
      <c r="G18" s="865">
        <f>SUBTOTAL(9,G15:G17)</f>
        <v>3133</v>
      </c>
      <c r="H18" s="864">
        <f t="shared" ref="H18:O18" si="10">SUBTOTAL(9,H14:H17)</f>
        <v>0</v>
      </c>
      <c r="I18" s="866">
        <f t="shared" si="10"/>
        <v>0</v>
      </c>
      <c r="J18" s="866">
        <f t="shared" si="10"/>
        <v>0</v>
      </c>
      <c r="K18" s="866">
        <f t="shared" si="10"/>
        <v>0</v>
      </c>
      <c r="L18" s="866">
        <f t="shared" si="10"/>
        <v>41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1548</v>
      </c>
      <c r="X18" s="866">
        <f t="shared" si="11"/>
        <v>22</v>
      </c>
      <c r="Y18" s="867">
        <f t="shared" si="11"/>
        <v>1570</v>
      </c>
      <c r="Z18" s="867">
        <f t="shared" si="11"/>
        <v>0</v>
      </c>
      <c r="AA18" s="867">
        <f t="shared" si="11"/>
        <v>3437</v>
      </c>
      <c r="AB18" s="867">
        <f t="shared" si="11"/>
        <v>340</v>
      </c>
      <c r="AC18" s="867">
        <f t="shared" si="11"/>
        <v>3777</v>
      </c>
      <c r="AD18" s="867">
        <f t="shared" si="11"/>
        <v>0</v>
      </c>
      <c r="AE18" s="871">
        <f t="shared" si="11"/>
        <v>0</v>
      </c>
      <c r="AF18" s="864">
        <f t="shared" si="11"/>
        <v>0</v>
      </c>
      <c r="AG18" s="872">
        <f t="shared" si="11"/>
        <v>0</v>
      </c>
      <c r="AH18" s="869">
        <f t="shared" si="11"/>
        <v>0</v>
      </c>
      <c r="AI18" s="864">
        <f t="shared" si="11"/>
        <v>267</v>
      </c>
      <c r="AJ18" s="866">
        <f t="shared" si="11"/>
        <v>0</v>
      </c>
      <c r="AK18" s="869">
        <f t="shared" si="11"/>
        <v>0</v>
      </c>
      <c r="AL18" s="873">
        <f>IF(ISNUMBER(NºAsuntos!G18/NºAsuntos!E18),NºAsuntos!G18/NºAsuntos!E18," - ")</f>
        <v>0.84405670665212651</v>
      </c>
      <c r="AM18" s="873">
        <f>IF(ISNUMBER(((NºAsuntos!I18/NºAsuntos!G18)*11)/factor_trimestre),((NºAsuntos!I18/NºAsuntos!G18)*11)/factor_trimestre," - ")</f>
        <v>4.4405684754521966</v>
      </c>
      <c r="AN18" s="874">
        <f>IF(ISNUMBER('Resol  Asuntos'!D18/NºAsuntos!G18),'Resol  Asuntos'!D18/NºAsuntos!G18," - ")</f>
        <v>0.17248062015503876</v>
      </c>
      <c r="AO18" s="875">
        <f>IF(ISNUMBER((NºAsuntos!C18+NºAsuntos!E18)/NºAsuntos!G18),(NºAsuntos!C18+NºAsuntos!E18)/NºAsuntos!G18," - ")</f>
        <v>3.2086563307493541</v>
      </c>
      <c r="AP18" s="876" t="str">
        <f t="shared" si="2"/>
        <v xml:space="preserve"> - </v>
      </c>
      <c r="AQ18" s="876">
        <f>IF(ISNUMBER((H18-W18+K18)/(F18)),(H18-W18+K18)/(F18)," - ")</f>
        <v>-0.50423452768729637</v>
      </c>
      <c r="AR18" s="877">
        <f>IF(ISNUMBER((Datos!P18-Datos!Q18)/(Datos!R18-Datos!P18+Datos!Q18)),(Datos!P18-Datos!Q18)/(Datos!R18-Datos!P18+Datos!Q18)," - ")</f>
        <v>5.9190031152647975E-2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12</v>
      </c>
      <c r="F19" s="819">
        <f t="shared" si="13"/>
        <v>3177</v>
      </c>
      <c r="G19" s="820">
        <f t="shared" si="13"/>
        <v>3240</v>
      </c>
      <c r="H19" s="819">
        <f t="shared" si="13"/>
        <v>0</v>
      </c>
      <c r="I19" s="821">
        <f t="shared" si="13"/>
        <v>0</v>
      </c>
      <c r="J19" s="821">
        <f t="shared" si="13"/>
        <v>0</v>
      </c>
      <c r="K19" s="880">
        <f t="shared" si="13"/>
        <v>0</v>
      </c>
      <c r="L19" s="821">
        <f t="shared" si="13"/>
        <v>479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1568</v>
      </c>
      <c r="X19" s="820">
        <f t="shared" si="14"/>
        <v>105</v>
      </c>
      <c r="Y19" s="827">
        <f t="shared" si="14"/>
        <v>1673</v>
      </c>
      <c r="Z19" s="827">
        <f t="shared" si="14"/>
        <v>0</v>
      </c>
      <c r="AA19" s="827">
        <f t="shared" si="14"/>
        <v>3535</v>
      </c>
      <c r="AB19" s="827">
        <f t="shared" si="14"/>
        <v>9038</v>
      </c>
      <c r="AC19" s="827">
        <f t="shared" si="14"/>
        <v>3934</v>
      </c>
      <c r="AD19" s="827">
        <f t="shared" si="14"/>
        <v>0</v>
      </c>
      <c r="AE19" s="829">
        <f t="shared" si="14"/>
        <v>0</v>
      </c>
      <c r="AF19" s="830">
        <f t="shared" si="14"/>
        <v>0</v>
      </c>
      <c r="AG19" s="831">
        <f t="shared" si="14"/>
        <v>0</v>
      </c>
      <c r="AH19" s="829">
        <f t="shared" si="14"/>
        <v>0</v>
      </c>
      <c r="AI19" s="819">
        <f t="shared" si="14"/>
        <v>701</v>
      </c>
      <c r="AJ19" s="819">
        <f t="shared" si="14"/>
        <v>0</v>
      </c>
      <c r="AK19" s="829">
        <f t="shared" si="14"/>
        <v>0</v>
      </c>
      <c r="AL19" s="883">
        <f>IF(ISNUMBER(NºAsuntos!G19/NºAsuntos!E19),NºAsuntos!G19/NºAsuntos!E19," - ")</f>
        <v>0.95305785123966946</v>
      </c>
      <c r="AM19" s="884">
        <f>IF(ISNUMBER(((NºAsuntos!I19/NºAsuntos!G19)*11)/factor_trimestre),((NºAsuntos!I19/NºAsuntos!G19)*11)/factor_trimestre," - ")</f>
        <v>7.3173777315296569</v>
      </c>
      <c r="AN19" s="884">
        <f>IF(ISNUMBER('Resol  Asuntos'!D19/NºAsuntos!G19),'Resol  Asuntos'!D19/NºAsuntos!G19," - ")</f>
        <v>0.24314949705168226</v>
      </c>
      <c r="AO19" s="885">
        <f>IF(ISNUMBER((NºAsuntos!C19+NºAsuntos!E19)/NºAsuntos!G19),(NºAsuntos!C19+NºAsuntos!E19)/NºAsuntos!G19," - ")</f>
        <v>4.6625043357613594</v>
      </c>
      <c r="AP19" s="886" t="str">
        <f t="shared" si="2"/>
        <v xml:space="preserve"> - </v>
      </c>
      <c r="AQ19" s="887">
        <f>IF(OR(ISNUMBER(FIND("01",Criterios!A8,1)),ISNUMBER(FIND("02",Criterios!A8,1)),ISNUMBER(FIND("03",Criterios!A8,1)),ISNUMBER(FIND("04",Criterios!A8,1))),(I19-W19+K19)/(F19-K19),(H19-W19+K19)/(F19-K19))</f>
        <v>-0.49354737173434055</v>
      </c>
      <c r="AR19" s="888">
        <f>IF(ISNUMBER((Datos!P19-Datos!Q19)/(Datos!R19-Datos!P19+Datos!Q19)),(Datos!P19-Datos!Q19)/(Datos!R19-Datos!P19+Datos!Q19)," - ")</f>
        <v>4.3167128347183746E-2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1296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3.1622776601683795</v>
      </c>
      <c r="F21" s="251">
        <f>IF(ISNUMBER(STDEV(F8:F18)),STDEV(F8:F18),"-")</f>
        <v>1710.6888476088611</v>
      </c>
      <c r="G21" s="252">
        <f>IF(ISNUMBER(STDEV(G8:G18)),STDEV(G8:G18),"-")</f>
        <v>1640.7099073267036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781.00813055947117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185.70370665839349</v>
      </c>
      <c r="AJ21" s="251">
        <f t="shared" si="18"/>
        <v>0</v>
      </c>
      <c r="AK21" s="253">
        <f t="shared" si="18"/>
        <v>0</v>
      </c>
      <c r="AL21" s="248">
        <f t="shared" si="18"/>
        <v>0.36156367484627294</v>
      </c>
      <c r="AM21" s="249">
        <f t="shared" si="18"/>
        <v>4.0245454826443972</v>
      </c>
      <c r="AN21" s="249">
        <f t="shared" si="18"/>
        <v>0.13360935730962695</v>
      </c>
      <c r="AO21" s="250">
        <f t="shared" si="18"/>
        <v>2.0252754964010018</v>
      </c>
      <c r="AP21" s="290" t="str">
        <f t="shared" si="18"/>
        <v>-</v>
      </c>
      <c r="AQ21" s="291">
        <f t="shared" si="18"/>
        <v>0.22437816202551353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tkui+KYqcbRrFqbGUiKms2oEl2UNNKy0UU4S4yX/ChZOaWrZ83QnVbAyd+b1Y4u1Qt0wuZI7rL6j7g2N1RHgPQ==" saltValue="Z7xrnDIbPuaYyKHsO17Tm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VIC</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0.17582417582417584</v>
      </c>
      <c r="E10" s="347">
        <f>IF(ISNUMBER((Datos!J10-Datos!T10)/Datos!T10),(Datos!J10-Datos!T10)/Datos!T10," - ")</f>
        <v>-0.47619047619047616</v>
      </c>
      <c r="F10" s="347">
        <f>IF(ISNUMBER((Datos!K10-Datos!U10)/Datos!U10),(Datos!K10-Datos!U10)/Datos!U10," - ")</f>
        <v>0.33333333333333331</v>
      </c>
      <c r="G10" s="348">
        <f>IF(ISNUMBER((Datos!L10-Datos!V10)/Datos!V10),(Datos!L10-Datos!V10)/Datos!V10," - ")</f>
        <v>1.0309278350515464E-2</v>
      </c>
      <c r="H10" s="229">
        <f>IF(ISNUMBER((Datos!M10-Datos!W10)/Datos!W10),(Datos!M10-Datos!W10)/Datos!W10," - ")</f>
        <v>2.3333333333333335</v>
      </c>
      <c r="I10" s="349">
        <f>IF(ISNUMBER((Tasas!C10-Datos!BE10)/Datos!BE10),(Tasas!C10-Datos!BE10)/Datos!BE10," - ")</f>
        <v>-0.24226804123711337</v>
      </c>
      <c r="J10" s="348">
        <f>IF(ISNUMBER((Tasas!D10-Datos!BF10)/Datos!BF10),(Tasas!D10-Datos!BF10)/Datos!BF10," - ")</f>
        <v>1.4999999999999998</v>
      </c>
      <c r="K10" s="350">
        <f>IF(ISNUMBER((Tasas!E10-Datos!BG10)/Datos!BG10),(Tasas!E10-Datos!BG10)/Datos!BG10," - ")</f>
        <v>-0.20982142857142855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0.95391705069124422</v>
      </c>
      <c r="I12" s="349">
        <f>IF(ISNUMBER((Tasas!C12-Datos!BE12)/Datos!BE12),(Tasas!C12-Datos!BE12)/Datos!BE12," - ")</f>
        <v>-8.4770536873879643E-2</v>
      </c>
      <c r="J12" s="348">
        <f>IF(ISNUMBER((Tasas!D12-Datos!BF12)/Datos!BF12),(Tasas!D12-Datos!BF12)/Datos!BF12," - ")</f>
        <v>-0.18749621454288504</v>
      </c>
      <c r="K12" s="350">
        <f>IF(ISNUMBER((Tasas!E12-Datos!BG12)/Datos!BG12),(Tasas!E12-Datos!BG12)/Datos!BG12," - ")</f>
        <v>-6.8883897871524463E-2</v>
      </c>
      <c r="M12" t="e">
        <f>IF(Monitorios="SI",Datos!CE12,0)</f>
        <v>#REF!</v>
      </c>
      <c r="N12" t="e">
        <f>IF(Monitorios="SI",Datos!CF12,0)</f>
        <v>#REF!</v>
      </c>
      <c r="O12" t="e">
        <f>IF(Monitorios="SI",Datos!CG12,0)</f>
        <v>#REF!</v>
      </c>
      <c r="P12" t="e">
        <f>IF(Monitorios="SI",Datos!CH12,0)</f>
        <v>#REF!</v>
      </c>
      <c r="Q12">
        <f>IF(J_V="SI",0,Datos!AG12)</f>
        <v>80</v>
      </c>
      <c r="R12">
        <f>IF(J_V="SI",0,Datos!AH12)</f>
        <v>82</v>
      </c>
      <c r="S12">
        <f>IF(J_V="SI",0,Datos!AI12)</f>
        <v>81</v>
      </c>
      <c r="T12">
        <f>IF(J_V="SI",0,Datos!AJ12)</f>
        <v>81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0.97272727272727277</v>
      </c>
      <c r="I13" s="356">
        <f>IF(ISNUMBER((Tasas!C13-Datos!BE13)/Datos!BE13),(Tasas!C13-Datos!BE13)/Datos!BE13," - ")</f>
        <v>-8.718638381559729E-2</v>
      </c>
      <c r="J13" s="354">
        <f>IF(ISNUMBER((Tasas!D13-Datos!BF13)/Datos!BF13),(Tasas!D13-Datos!BF13)/Datos!BF13," - ")</f>
        <v>-0.17547680783635838</v>
      </c>
      <c r="K13" s="357">
        <f>IF(ISNUMBER((Tasas!E13-Datos!BG13)/Datos!BG13),(Tasas!E13-Datos!BG13)/Datos!BG13," - ")</f>
        <v>-7.101761904897598E-2</v>
      </c>
      <c r="M13" t="e">
        <f>IF(Monitorios="SI",Datos!CE13,0)</f>
        <v>#REF!</v>
      </c>
      <c r="N13" t="e">
        <f>IF(Monitorios="SI",Datos!CF13,0)</f>
        <v>#REF!</v>
      </c>
      <c r="O13" t="e">
        <f>IF(Monitorios="SI",Datos!CG13,0)</f>
        <v>#REF!</v>
      </c>
      <c r="P13" t="e">
        <f>IF(Monitorios="SI",Datos!CH13,0)</f>
        <v>#REF!</v>
      </c>
      <c r="Q13">
        <f>IF(J_V="SI",0,Datos!AG13)</f>
        <v>80</v>
      </c>
      <c r="R13">
        <f>IF(J_V="SI",0,Datos!AH13)</f>
        <v>82</v>
      </c>
      <c r="S13">
        <f>IF(J_V="SI",0,Datos!AI13)</f>
        <v>81</v>
      </c>
      <c r="T13">
        <f>IF(J_V="SI",0,Datos!AJ13)</f>
        <v>81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9.2698639942734432E-2</v>
      </c>
      <c r="E16" s="347">
        <f>IF(ISNUMBER(
   IF(D_I="SI",(Datos!J16-Datos!T16)/Datos!T16,(Datos!J16+Datos!AD16-(Datos!T16+Datos!AL16))/(Datos!T16+Datos!AL16))
     ),IF(D_I="SI",(Datos!J16-Datos!T16)/Datos!T16,(Datos!J16+Datos!AD16-(Datos!T16+Datos!AL16))/(Datos!T16+Datos!AL16))," - ")</f>
        <v>-6.2740781507980181E-2</v>
      </c>
      <c r="F16" s="347">
        <f>IF(ISNUMBER(
   IF(D_I="SI",(Datos!K16-Datos!U16)/Datos!U16,(Datos!K16+Datos!AE16-(Datos!U16+Datos!AM16))/(Datos!U16+Datos!AM16))
     ),IF(D_I="SI",(Datos!K16-Datos!U16)/Datos!U16,(Datos!K16+Datos!AE16-(Datos!U16+Datos!AM16))/(Datos!U16+Datos!AM16))," - ")</f>
        <v>3.9793662490788501E-2</v>
      </c>
      <c r="G16" s="348">
        <f>IF(ISNUMBER(
   IF(D_I="SI",(Datos!L16-Datos!V16)/Datos!V16,(Datos!L16+Datos!AF16-(Datos!V16+Datos!AN16))/(Datos!V16+Datos!AN16))
     ),IF(D_I="SI",(Datos!L16-Datos!V16)/Datos!V16,(Datos!L16+Datos!AF16-(Datos!V16+Datos!AN16))/(Datos!V16+Datos!AN16))," - ")</f>
        <v>2.9078665442301806E-2</v>
      </c>
      <c r="H16" s="229">
        <f>IF(ISNUMBER((Datos!M16-Datos!W16)/Datos!W16),(Datos!M16-Datos!W16)/Datos!W16," - ")</f>
        <v>2.0833333333333332E-2</v>
      </c>
      <c r="I16" s="349">
        <f>IF(ISNUMBER((Tasas!C16-Datos!BE16)/Datos!BE16),(Tasas!C16-Datos!BE16)/Datos!BE16," - ")</f>
        <v>-1.0304926289720937E-2</v>
      </c>
      <c r="J16" s="348">
        <f>IF(ISNUMBER((Tasas!D16-Datos!BF16)/Datos!BF16),(Tasas!D16-Datos!BF16)/Datos!BF16," - ")</f>
        <v>-1.8234703519962127E-2</v>
      </c>
      <c r="K16" s="350">
        <f>IF(ISNUMBER((Tasas!E16-Datos!BG16)/Datos!BG16),(Tasas!E16-Datos!BG16)/Datos!BG16," - ")</f>
        <v>-8.0276711730384222E-3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-0.39393939393939392</v>
      </c>
      <c r="E17" s="347">
        <f>IF(ISNUMBER(
   IF(D_I="SI",(Datos!J17-Datos!T17)/Datos!T17,(Datos!J17+Datos!AD17-(Datos!T17+Datos!AL17))/(Datos!T17+Datos!AL17))
     ),IF(D_I="SI",(Datos!J17-Datos!T17)/Datos!T17,(Datos!J17+Datos!AD17-(Datos!T17+Datos!AL17))/(Datos!T17+Datos!AL17))," - ")</f>
        <v>1.5503875968992248E-2</v>
      </c>
      <c r="F17" s="347">
        <f>IF(ISNUMBER(
   IF(D_I="SI",(Datos!K17-Datos!U17)/Datos!U17,(Datos!K17+Datos!AE17-(Datos!U17+Datos!AM17))/(Datos!U17+Datos!AM17))
     ),IF(D_I="SI",(Datos!K17-Datos!U17)/Datos!U17,(Datos!K17+Datos!AE17-(Datos!U17+Datos!AM17))/(Datos!U17+Datos!AM17))," - ")</f>
        <v>-4.8611111111111112E-2</v>
      </c>
      <c r="G17" s="348">
        <f>IF(ISNUMBER(
   IF(D_I="SI",(Datos!L17-Datos!V17)/Datos!V17,(Datos!L17+Datos!AF17-(Datos!V17+Datos!AN17))/(Datos!V17+Datos!AN17))
     ),IF(D_I="SI",(Datos!L17-Datos!V17)/Datos!V17,(Datos!L17+Datos!AF17-(Datos!V17+Datos!AN17))/(Datos!V17+Datos!AN17))," - ")</f>
        <v>-0.35897435897435898</v>
      </c>
      <c r="H17" s="229">
        <f>IF(ISNUMBER((Datos!M17-Datos!W17)/Datos!W17),(Datos!M17-Datos!W17)/Datos!W17," - ")</f>
        <v>0.5714285714285714</v>
      </c>
      <c r="I17" s="349">
        <f>IF(ISNUMBER((Tasas!C17-Datos!BE17)/Datos!BE17),(Tasas!C17-Datos!BE17)/Datos!BE17," - ")</f>
        <v>-0.32622122403144299</v>
      </c>
      <c r="J17" s="348">
        <f>IF(ISNUMBER((Tasas!D17-Datos!BF17)/Datos!BF17),(Tasas!D17-Datos!BF17)/Datos!BF17," - ")</f>
        <v>0.65172054223149112</v>
      </c>
      <c r="K17" s="350">
        <f>IF(ISNUMBER((Tasas!E17-Datos!BG17)/Datos!BG17),(Tasas!E17-Datos!BG17)/Datos!BG17," - ")</f>
        <v>-0.15026428391643593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7.0745044429254958E-2</v>
      </c>
      <c r="E18" s="353">
        <f>IF(ISNUMBER(
   IF(D_I="SI",(Datos!J18-Datos!T18)/Datos!T18,(Datos!J18+Datos!AD18-(Datos!T18+Datos!AL18))/(Datos!T18+Datos!AL18))
     ),IF(D_I="SI",(Datos!J18-Datos!T18)/Datos!T18,(Datos!J18+Datos!AD18-(Datos!T18+Datos!AL18))/(Datos!T18+Datos!AL18))," - ")</f>
        <v>-5.7553956834532377E-2</v>
      </c>
      <c r="F18" s="353">
        <f>IF(ISNUMBER(
   IF(D_I="SI",(Datos!K18-Datos!U18)/Datos!U18,(Datos!K18+Datos!AE18-(Datos!U18+Datos!AM18))/(Datos!U18+Datos!AM18))
     ),IF(D_I="SI",(Datos!K18-Datos!U18)/Datos!U18,(Datos!K18+Datos!AE18-(Datos!U18+Datos!AM18))/(Datos!U18+Datos!AM18))," - ")</f>
        <v>3.1312458361092602E-2</v>
      </c>
      <c r="G18" s="354">
        <f>IF(ISNUMBER(
   IF(D_I="SI",(Datos!L18-Datos!V18)/Datos!V18,(Datos!L18+Datos!AF18-(Datos!V18+Datos!AN18))/(Datos!V18+Datos!AN18))
     ),IF(D_I="SI",(Datos!L18-Datos!V18)/Datos!V18,(Datos!L18+Datos!AF18-(Datos!V18+Datos!AN18))/(Datos!V18+Datos!AN18))," - ")</f>
        <v>1.5661938534278958E-2</v>
      </c>
      <c r="H18" s="355">
        <f>IF(ISNUMBER((Datos!M18-Datos!W18)/Datos!W18),(Datos!M18-Datos!W18)/Datos!W18," - ")</f>
        <v>5.1181102362204724E-2</v>
      </c>
      <c r="I18" s="356">
        <f>IF(ISNUMBER((Tasas!C18-Datos!BE18)/Datos!BE18),(Tasas!C18-Datos!BE18)/Datos!BE18," - ")</f>
        <v>-1.517534254525018E-2</v>
      </c>
      <c r="J18" s="354">
        <f>IF(ISNUMBER((Tasas!D18-Datos!BF18)/Datos!BF18),(Tasas!D18-Datos!BF18)/Datos!BF18," - ")</f>
        <v>1.9265397057925848E-2</v>
      </c>
      <c r="K18" s="357">
        <f>IF(ISNUMBER((Tasas!E18-Datos!BG18)/Datos!BG18),(Tasas!E18-Datos!BG18)/Datos!BG18," - ")</f>
        <v>-1.1454607460020371E-2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0.12276352662211684</v>
      </c>
      <c r="E19" s="362">
        <f>IF(ISNUMBER(
   IF(J_V="SI",(Datos!J19-Datos!T19)/Datos!T19,(Datos!J19+Datos!Z19-(Datos!T19+Datos!AH19))/(Datos!T19+Datos!AH19))
     ),IF(J_V="SI",(Datos!J19-Datos!T19)/Datos!T19,(Datos!J19+Datos!Z19-(Datos!T19+Datos!AH19))/(Datos!T19+Datos!AH19))," - ")</f>
        <v>-0.1307471264367816</v>
      </c>
      <c r="F19" s="362">
        <f>IF(ISNUMBER(
   IF(J_V="SI",(Datos!K19-Datos!U19)/Datos!U19,(Datos!K19+Datos!AA19-(Datos!U19+Datos!AI19))/(Datos!U19+Datos!AI19))
     ),IF(J_V="SI",(Datos!K19-Datos!U19)/Datos!U19,(Datos!K19+Datos!AA19-(Datos!U19+Datos!AI19))/(Datos!U19+Datos!AI19))," - ")</f>
        <v>8.5875706214689262E-2</v>
      </c>
      <c r="G19" s="363">
        <f>IF(ISNUMBER(
   IF(J_V="SI",(Datos!L19-Datos!V19)/Datos!V19,(Datos!L19+Datos!AB19-(Datos!V19+Datos!AJ19))/(Datos!V19+Datos!AJ19))
     ),IF(J_V="SI",(Datos!L19-Datos!V19)/Datos!V19,(Datos!L19+Datos!AB19-(Datos!V19+Datos!AJ19))/(Datos!V19+Datos!AJ19))," - ")</f>
        <v>4.2498517493575805E-2</v>
      </c>
      <c r="H19" s="364">
        <f>IF(ISNUMBER((Datos!M19-Datos!W19)/Datos!W19),(Datos!M19-Datos!W19)/Datos!W19," - ")</f>
        <v>0.47890295358649787</v>
      </c>
      <c r="I19" s="361">
        <f>IF(ISNUMBER((Tasas!C19-Datos!BE19)/Datos!BE19),(Tasas!C19-Datos!BE19)/Datos!BE19," - ")</f>
        <v>-3.9946734670328193E-2</v>
      </c>
      <c r="J19" s="362">
        <f>IF(ISNUMBER((Tasas!D19-Datos!BF19)/Datos!BF19),(Tasas!D19-Datos!BF19)/Datos!BF19," - ")</f>
        <v>-8.9475437697861135E-2</v>
      </c>
      <c r="K19" s="363">
        <f>IF(ISNUMBER((Tasas!E19-Datos!BG19)/Datos!BG19),(Tasas!E19-Datos!BG19)/Datos!BG19," - ")</f>
        <v>-2.9710847198118069E-2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0.25752219445428937</v>
      </c>
      <c r="E21" s="277">
        <f t="shared" si="1"/>
        <v>0.2235037467666664</v>
      </c>
      <c r="F21" s="277">
        <f t="shared" si="1"/>
        <v>0.16771474236919706</v>
      </c>
      <c r="G21" s="278">
        <f t="shared" si="1"/>
        <v>0.18882727102424327</v>
      </c>
      <c r="H21" s="284">
        <f t="shared" si="1"/>
        <v>0.85122605402545803</v>
      </c>
      <c r="I21" s="276">
        <f t="shared" si="1"/>
        <v>0.1284244476414616</v>
      </c>
      <c r="J21" s="277">
        <f t="shared" si="1"/>
        <v>0.66445555509325216</v>
      </c>
      <c r="K21" s="278">
        <f t="shared" si="1"/>
        <v>7.9515747391017147E-2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YIUPzWX171RxbOOxTIqhFc42yl+LkSwlpARKC2HqfwvmtYOAaMAXjE/QXUQ72nn7ua3gd6fZVSEIK5m0ohzsw==" saltValue="Kyl5bIEl+tQH3ii0FFDk2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2025-12-09T21:38:00Z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